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Default Extension="wmf" ContentType="image/x-w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autoCompressPictures="0"/>
  <bookViews>
    <workbookView xWindow="40" yWindow="0" windowWidth="24780" windowHeight="14780"/>
  </bookViews>
  <sheets>
    <sheet name="Prob.1" sheetId="1" r:id="rId1"/>
    <sheet name="Prob.2." sheetId="2" r:id="rId2"/>
    <sheet name="Prob.3." sheetId="8" r:id="rId3"/>
    <sheet name="Prob.5." sheetId="6" r:id="rId4"/>
    <sheet name="Prob. 6." sheetId="5" r:id="rId5"/>
    <sheet name="Prob.8" sheetId="9" r:id="rId6"/>
    <sheet name="Prob.10." sheetId="11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8" i="6" l="1"/>
  <c r="E65" i="6"/>
  <c r="E62" i="6"/>
  <c r="H13" i="8"/>
  <c r="H14" i="8"/>
  <c r="H15" i="8"/>
  <c r="H16" i="8"/>
  <c r="H17" i="8"/>
  <c r="H18" i="8"/>
  <c r="H19" i="8"/>
  <c r="H20" i="8"/>
  <c r="H22" i="8"/>
  <c r="C51" i="8"/>
  <c r="I13" i="8"/>
  <c r="I14" i="8"/>
  <c r="I15" i="8"/>
  <c r="I16" i="8"/>
  <c r="I17" i="8"/>
  <c r="I18" i="8"/>
  <c r="I19" i="8"/>
  <c r="I20" i="8"/>
  <c r="C52" i="8"/>
  <c r="C55" i="8"/>
  <c r="J12" i="8"/>
  <c r="J13" i="8"/>
  <c r="J14" i="8"/>
  <c r="J15" i="8"/>
  <c r="J16" i="8"/>
  <c r="J17" i="8"/>
  <c r="J18" i="8"/>
  <c r="J19" i="8"/>
  <c r="J20" i="8"/>
  <c r="J22" i="8"/>
  <c r="C57" i="8"/>
  <c r="K13" i="8"/>
  <c r="K14" i="8"/>
  <c r="K15" i="8"/>
  <c r="K16" i="8"/>
  <c r="K17" i="8"/>
  <c r="K18" i="8"/>
  <c r="K19" i="8"/>
  <c r="K20" i="8"/>
  <c r="C58" i="8"/>
  <c r="C60" i="8"/>
  <c r="L12" i="8"/>
  <c r="L13" i="8"/>
  <c r="M13" i="8"/>
  <c r="P13" i="8"/>
  <c r="O13" i="8"/>
  <c r="C108" i="1"/>
  <c r="C105" i="1"/>
  <c r="J44" i="1"/>
  <c r="C69" i="1"/>
  <c r="C72" i="1"/>
  <c r="H69" i="1"/>
  <c r="F72" i="1"/>
  <c r="I44" i="1"/>
  <c r="H44" i="1"/>
  <c r="H10" i="2"/>
  <c r="E39" i="5"/>
  <c r="E24" i="5"/>
  <c r="I32" i="5"/>
  <c r="I36" i="5"/>
  <c r="I40" i="5"/>
  <c r="C50" i="5"/>
  <c r="C52" i="5"/>
  <c r="C69" i="5"/>
  <c r="D72" i="5"/>
  <c r="H74" i="5"/>
  <c r="G100" i="5"/>
  <c r="G101" i="5"/>
  <c r="G103" i="5"/>
  <c r="G105" i="5"/>
  <c r="G43" i="1"/>
  <c r="H43" i="1"/>
  <c r="J43" i="1"/>
  <c r="G44" i="1"/>
  <c r="G45" i="1"/>
  <c r="H45" i="1"/>
  <c r="I45" i="1"/>
  <c r="J45" i="1"/>
  <c r="G46" i="1"/>
  <c r="H46" i="1"/>
  <c r="I46" i="1"/>
  <c r="G47" i="1"/>
  <c r="H47" i="1"/>
  <c r="I47" i="1"/>
  <c r="J47" i="1"/>
  <c r="G48" i="1"/>
  <c r="H48" i="1"/>
  <c r="I48" i="1"/>
  <c r="F14" i="11"/>
  <c r="F25" i="11"/>
  <c r="F26" i="11"/>
  <c r="E26" i="11"/>
  <c r="F27" i="11"/>
  <c r="F28" i="11"/>
  <c r="E28" i="11"/>
  <c r="F29" i="11"/>
  <c r="F30" i="11"/>
  <c r="E30" i="11"/>
  <c r="F31" i="11"/>
  <c r="F76" i="11"/>
  <c r="G79" i="11"/>
  <c r="D102" i="11"/>
  <c r="D103" i="11"/>
  <c r="E129" i="11"/>
  <c r="F139" i="11"/>
  <c r="F145" i="11"/>
  <c r="E161" i="11"/>
  <c r="E173" i="11"/>
  <c r="G187" i="11"/>
  <c r="H11" i="2"/>
  <c r="H12" i="2"/>
  <c r="H13" i="2"/>
  <c r="H14" i="2"/>
  <c r="H15" i="2"/>
  <c r="H16" i="2"/>
  <c r="H17" i="2"/>
  <c r="I10" i="2"/>
  <c r="J10" i="2"/>
  <c r="J11" i="2"/>
  <c r="J12" i="2"/>
  <c r="J13" i="2"/>
  <c r="J14" i="2"/>
  <c r="J15" i="2"/>
  <c r="J16" i="2"/>
  <c r="J17" i="2"/>
  <c r="K10" i="2"/>
  <c r="I11" i="2"/>
  <c r="K11" i="2"/>
  <c r="I12" i="2"/>
  <c r="K12" i="2"/>
  <c r="I13" i="2"/>
  <c r="K13" i="2"/>
  <c r="I14" i="2"/>
  <c r="K14" i="2"/>
  <c r="I15" i="2"/>
  <c r="K15" i="2"/>
  <c r="I16" i="2"/>
  <c r="K16" i="2"/>
  <c r="C17" i="2"/>
  <c r="I17" i="2"/>
  <c r="K17" i="2"/>
  <c r="C20" i="8"/>
  <c r="D10" i="6"/>
  <c r="H60" i="6"/>
  <c r="E72" i="6"/>
  <c r="G83" i="6"/>
  <c r="C121" i="6"/>
  <c r="C123" i="6"/>
  <c r="D116" i="9"/>
  <c r="C121" i="9"/>
  <c r="J48" i="1"/>
  <c r="J46" i="1"/>
  <c r="F108" i="1"/>
  <c r="F127" i="6"/>
  <c r="C124" i="6"/>
  <c r="C122" i="6"/>
  <c r="C125" i="6"/>
  <c r="F125" i="6"/>
  <c r="F129" i="6"/>
  <c r="E31" i="11"/>
  <c r="E29" i="11"/>
  <c r="E27" i="11"/>
  <c r="E25" i="11"/>
  <c r="C105" i="6"/>
  <c r="C107" i="6"/>
  <c r="C138" i="6"/>
  <c r="G87" i="6"/>
  <c r="G91" i="6"/>
  <c r="C104" i="6"/>
  <c r="C106" i="6"/>
  <c r="C144" i="6"/>
  <c r="C108" i="6"/>
  <c r="F108" i="6"/>
  <c r="C150" i="6"/>
  <c r="F131" i="6"/>
  <c r="C64" i="8"/>
  <c r="C65" i="8"/>
  <c r="L14" i="8"/>
  <c r="M14" i="8"/>
  <c r="L15" i="8"/>
  <c r="M15" i="8"/>
  <c r="L16" i="8"/>
  <c r="M16" i="8"/>
  <c r="L17" i="8"/>
  <c r="M17" i="8"/>
  <c r="L18" i="8"/>
  <c r="M18" i="8"/>
  <c r="L19" i="8"/>
  <c r="M19" i="8"/>
  <c r="O19" i="8"/>
  <c r="P19" i="8"/>
  <c r="O17" i="8"/>
  <c r="P17" i="8"/>
  <c r="O15" i="8"/>
  <c r="P15" i="8"/>
  <c r="L20" i="8"/>
  <c r="L22" i="8"/>
  <c r="C62" i="8"/>
  <c r="O18" i="8"/>
  <c r="P18" i="8"/>
  <c r="O16" i="8"/>
  <c r="P16" i="8"/>
  <c r="O14" i="8"/>
  <c r="P14" i="8"/>
  <c r="O20" i="8"/>
  <c r="M20" i="8"/>
  <c r="P20" i="8"/>
  <c r="K56" i="8"/>
  <c r="K69" i="8"/>
  <c r="K55" i="8"/>
  <c r="K57" i="8"/>
</calcChain>
</file>

<file path=xl/sharedStrings.xml><?xml version="1.0" encoding="utf-8"?>
<sst xmlns="http://schemas.openxmlformats.org/spreadsheetml/2006/main" count="548" uniqueCount="404">
  <si>
    <t>Reservoir technology 2; Problem 1 (PVT-Analysis)</t>
  </si>
  <si>
    <t xml:space="preserve">P: </t>
  </si>
  <si>
    <t>Pressure</t>
  </si>
  <si>
    <t xml:space="preserve">Z: </t>
  </si>
  <si>
    <t>Compressibility factor</t>
  </si>
  <si>
    <r>
      <t>P</t>
    </r>
    <r>
      <rPr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>:</t>
    </r>
  </si>
  <si>
    <t>Initial pressure</t>
  </si>
  <si>
    <r>
      <t>Z</t>
    </r>
    <r>
      <rPr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>:</t>
    </r>
  </si>
  <si>
    <t>Initial compressibility factor</t>
  </si>
  <si>
    <r>
      <t>T</t>
    </r>
    <r>
      <rPr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>:</t>
    </r>
  </si>
  <si>
    <t>Initial temperature</t>
  </si>
  <si>
    <r>
      <t>G</t>
    </r>
    <r>
      <rPr>
        <vertAlign val="subscript"/>
        <sz val="12"/>
        <rFont val="Times New Roman"/>
        <family val="1"/>
      </rPr>
      <t>p</t>
    </r>
    <r>
      <rPr>
        <sz val="12"/>
        <rFont val="Times New Roman"/>
        <family val="1"/>
      </rPr>
      <t xml:space="preserve">: </t>
    </r>
  </si>
  <si>
    <t>Volume of gas produced at SC.</t>
  </si>
  <si>
    <t xml:space="preserve">First, neglect the volume of produced liquid, and then estimate the </t>
  </si>
  <si>
    <t>volume of gas initial in place (Sm3).</t>
  </si>
  <si>
    <t xml:space="preserve">d. </t>
  </si>
  <si>
    <t>a.</t>
  </si>
  <si>
    <t>b.</t>
  </si>
  <si>
    <t>Derive the material balance equtation for a closed dry gas reservoir.</t>
  </si>
  <si>
    <t>c.</t>
  </si>
  <si>
    <t>Production data for a gas reservoir are given.</t>
  </si>
  <si>
    <t>Suppose all produced liquid is gas in the reservoir, and then make a new</t>
  </si>
  <si>
    <t>Solution:</t>
  </si>
  <si>
    <t>Table:</t>
  </si>
  <si>
    <t xml:space="preserve">P </t>
  </si>
  <si>
    <t>(psia)</t>
  </si>
  <si>
    <t>Z</t>
  </si>
  <si>
    <t>Vg (sep) kum.</t>
  </si>
  <si>
    <t>Vsto kum.</t>
  </si>
  <si>
    <t>(Sbbl)</t>
  </si>
  <si>
    <t>(SCF)</t>
  </si>
  <si>
    <t>Vw kum.</t>
  </si>
  <si>
    <t>P/Z</t>
  </si>
  <si>
    <t>d.</t>
  </si>
  <si>
    <t>SCF/Sbbl</t>
  </si>
  <si>
    <r>
      <t>g</t>
    </r>
    <r>
      <rPr>
        <sz val="10"/>
        <rFont val="Arial"/>
      </rPr>
      <t>sto</t>
    </r>
  </si>
  <si>
    <t>Msto</t>
  </si>
  <si>
    <t>Mw</t>
  </si>
  <si>
    <r>
      <t>g</t>
    </r>
    <r>
      <rPr>
        <sz val="10"/>
        <rFont val="Arial"/>
      </rPr>
      <t>w</t>
    </r>
  </si>
  <si>
    <t>GEw kum.</t>
  </si>
  <si>
    <t>GEsto kum.</t>
  </si>
  <si>
    <t>(Gp)tot</t>
  </si>
  <si>
    <t>Slope:</t>
  </si>
  <si>
    <t>1SCF=0,0283 Sm3</t>
  </si>
  <si>
    <t>For x=0; y=</t>
  </si>
  <si>
    <t>Gp (SCF)</t>
  </si>
  <si>
    <t>Gp (Sm3)</t>
  </si>
  <si>
    <t>X=0; y=</t>
  </si>
  <si>
    <t>(Gp)tot (SCF)</t>
  </si>
  <si>
    <t>(Gp)tot (Sm3)</t>
  </si>
  <si>
    <t>Problem 2; PVT-Analysis.</t>
  </si>
  <si>
    <t>Estimate Pb for a given hydrocarbons system at 180 oF.</t>
  </si>
  <si>
    <t>zi</t>
  </si>
  <si>
    <t>molefrac.</t>
  </si>
  <si>
    <t>Comp.</t>
  </si>
  <si>
    <t>C1</t>
  </si>
  <si>
    <t>C2</t>
  </si>
  <si>
    <t>C3</t>
  </si>
  <si>
    <t>n-C4</t>
  </si>
  <si>
    <t>n-C5</t>
  </si>
  <si>
    <t>C6</t>
  </si>
  <si>
    <t>C7+</t>
  </si>
  <si>
    <t>Sum:</t>
  </si>
  <si>
    <t>Ki</t>
  </si>
  <si>
    <t>2500 psia</t>
  </si>
  <si>
    <t>2000 psia</t>
  </si>
  <si>
    <t>1900 psia</t>
  </si>
  <si>
    <t>1800 psia</t>
  </si>
  <si>
    <t xml:space="preserve">At Pb: </t>
  </si>
  <si>
    <r>
      <t>S</t>
    </r>
    <r>
      <rPr>
        <sz val="10"/>
        <rFont val="Arial"/>
      </rPr>
      <t xml:space="preserve">yi = </t>
    </r>
    <r>
      <rPr>
        <sz val="10"/>
        <rFont val="Symbol"/>
        <family val="1"/>
        <charset val="2"/>
      </rPr>
      <t>S</t>
    </r>
    <r>
      <rPr>
        <sz val="10"/>
        <rFont val="Arial"/>
      </rPr>
      <t>zi*Ki = 1</t>
    </r>
  </si>
  <si>
    <t>zi*Ki</t>
  </si>
  <si>
    <t>One-phase</t>
  </si>
  <si>
    <t>Pb too high</t>
  </si>
  <si>
    <t>two-phase</t>
  </si>
  <si>
    <t>Pb too low</t>
  </si>
  <si>
    <t>Pb a little too</t>
  </si>
  <si>
    <t>low.</t>
  </si>
  <si>
    <t>Two-phase</t>
  </si>
  <si>
    <t>Conclusion:</t>
  </si>
  <si>
    <t>Pb is a little higher than 1900 psia.</t>
  </si>
  <si>
    <t>Problem 3. PVT-Analysis</t>
  </si>
  <si>
    <t>A fluid with known composition passes through a 2 step separator system.</t>
  </si>
  <si>
    <t>1. Sep:</t>
  </si>
  <si>
    <t>T (oC)</t>
  </si>
  <si>
    <t>P (psia)</t>
  </si>
  <si>
    <t>2. Sep.</t>
  </si>
  <si>
    <t>Taable:</t>
  </si>
  <si>
    <t>C4</t>
  </si>
  <si>
    <t>C5</t>
  </si>
  <si>
    <t>(molefrac.)</t>
  </si>
  <si>
    <t>1. Sep.</t>
  </si>
  <si>
    <t>Mi</t>
  </si>
  <si>
    <r>
      <t>r</t>
    </r>
    <r>
      <rPr>
        <sz val="10"/>
        <rFont val="Arial"/>
      </rPr>
      <t>c7+ (lb/ft3)</t>
    </r>
  </si>
  <si>
    <r>
      <t>(</t>
    </r>
    <r>
      <rPr>
        <sz val="10"/>
        <rFont val="Symbol"/>
        <family val="1"/>
        <charset val="2"/>
      </rPr>
      <t>r</t>
    </r>
    <r>
      <rPr>
        <sz val="10"/>
        <rFont val="Arial"/>
      </rPr>
      <t>o)res (lb/ft3)</t>
    </r>
  </si>
  <si>
    <t>(Mo)res</t>
  </si>
  <si>
    <t>Vm (SCF/lb-mole)</t>
  </si>
  <si>
    <t>Calculate molefraction of liquid and gas (L1 and V1) and liquid composition from 1. Separator.</t>
  </si>
  <si>
    <t>(Assume first L=0,5)</t>
  </si>
  <si>
    <t>Calculate L2 and V2 and liquid composition from 2. Separator.</t>
  </si>
  <si>
    <t>(Assume first L=0,95)</t>
  </si>
  <si>
    <t>Calculate:</t>
  </si>
  <si>
    <t>(GOR)sep, (GOR)tank, and (GOR)tot as SCFTSbbl.</t>
  </si>
  <si>
    <r>
      <t>r</t>
    </r>
    <r>
      <rPr>
        <sz val="10"/>
        <rFont val="Arial"/>
      </rPr>
      <t>sto (lb/ft3)</t>
    </r>
  </si>
  <si>
    <t>Suppose Pres&gt;Pb. Calculate Bo (m3/Sm3)</t>
  </si>
  <si>
    <t>Correct values of L and V if:</t>
  </si>
  <si>
    <t>L + V = 1</t>
  </si>
  <si>
    <t>F(0,5)</t>
  </si>
  <si>
    <t>F´(0,03395)</t>
  </si>
  <si>
    <t>1. Iteration:</t>
  </si>
  <si>
    <t>F´(0,5)</t>
  </si>
  <si>
    <t>y-0,03395 = -1,6799 ( x - 0,5)</t>
  </si>
  <si>
    <t>y=0</t>
  </si>
  <si>
    <t>x</t>
  </si>
  <si>
    <t>F(0,5202)</t>
  </si>
  <si>
    <t>2. Iteration:</t>
  </si>
  <si>
    <t>F´(0,5202)</t>
  </si>
  <si>
    <t>y = 0</t>
  </si>
  <si>
    <t>3. Iteration:</t>
  </si>
  <si>
    <t>F(0,5211)</t>
  </si>
  <si>
    <t>OK.</t>
  </si>
  <si>
    <t>L1</t>
  </si>
  <si>
    <t>V1</t>
  </si>
  <si>
    <t>Sep. oil</t>
  </si>
  <si>
    <t>xi</t>
  </si>
  <si>
    <t>Comp. Of separator oil is given in Table.</t>
  </si>
  <si>
    <t>The composition of sep. oil is used as fluid for the next flash-calculation.</t>
  </si>
  <si>
    <t>Ki-values for the 2. Separator are used.</t>
  </si>
  <si>
    <t>Calculations are not performed, but the answer is:</t>
  </si>
  <si>
    <t>L2</t>
  </si>
  <si>
    <t>V2</t>
  </si>
  <si>
    <t>Composition of STO is given in Table.</t>
  </si>
  <si>
    <t>STO</t>
  </si>
  <si>
    <t>Formula:</t>
  </si>
  <si>
    <t>Based on 1 mole feed for each of the separators:</t>
  </si>
  <si>
    <t>(GOR)sep (SCF/Sbbl)</t>
  </si>
  <si>
    <t>(GOR)tank (SCF/Sbbl)</t>
  </si>
  <si>
    <t>(GOR)tot (SCF/Sbbl)</t>
  </si>
  <si>
    <t>Based on 1 mole reservoir fluid:</t>
  </si>
  <si>
    <t>Bo (m3/Sm3)</t>
  </si>
  <si>
    <t>Data given:</t>
  </si>
  <si>
    <t>Tres (oF)</t>
  </si>
  <si>
    <t>Psep (psia)</t>
  </si>
  <si>
    <t>Tsep (oF)</t>
  </si>
  <si>
    <t>Formula used:</t>
  </si>
  <si>
    <t>IGIP (SCF)</t>
  </si>
  <si>
    <t>IOIP (Sbbl)</t>
  </si>
  <si>
    <t>Problem 5; PVT-analysis</t>
  </si>
  <si>
    <t>Reservoir data given:</t>
  </si>
  <si>
    <t>Pres = Pd (psia)</t>
  </si>
  <si>
    <t>Pa (psia)</t>
  </si>
  <si>
    <t>Swr</t>
  </si>
  <si>
    <r>
      <t>F</t>
    </r>
    <r>
      <rPr>
        <sz val="10"/>
        <rFont val="Arial"/>
      </rPr>
      <t xml:space="preserve"> (porosity)</t>
    </r>
  </si>
  <si>
    <t>Experimental data:</t>
  </si>
  <si>
    <t>Vcell  (cm3)</t>
  </si>
  <si>
    <t>(M)C7+ (init. res. fluid)</t>
  </si>
  <si>
    <r>
      <t>(</t>
    </r>
    <r>
      <rPr>
        <sz val="10"/>
        <rFont val="Symbol"/>
        <family val="1"/>
        <charset val="2"/>
      </rPr>
      <t>g</t>
    </r>
    <r>
      <rPr>
        <sz val="10"/>
        <rFont val="Arial"/>
      </rPr>
      <t>)C7+ (init. res. fluid)</t>
    </r>
  </si>
  <si>
    <t>SC: 14,7 psia and 60 oF.</t>
  </si>
  <si>
    <t>Split factor simulate the separator conditions.</t>
  </si>
  <si>
    <t>Liquid recovery factors from well stream:</t>
  </si>
  <si>
    <t>C4 (Gal/1000SCF)</t>
  </si>
  <si>
    <t>C5 (Gal/1000SCF)</t>
  </si>
  <si>
    <t>C6 (Gal/1000 SCF)</t>
  </si>
  <si>
    <t>C7+ (Gal/1000 SCF)</t>
  </si>
  <si>
    <t>Converting gas volume to liquid volume at SC:</t>
  </si>
  <si>
    <t>2690 to 2500 psia.</t>
  </si>
  <si>
    <t>Data needed :</t>
  </si>
  <si>
    <t>Volumetric data:</t>
  </si>
  <si>
    <t>Vl (cm3)</t>
  </si>
  <si>
    <t>Vl (%)</t>
  </si>
  <si>
    <r>
      <t>D</t>
    </r>
    <r>
      <rPr>
        <b/>
        <sz val="10"/>
        <rFont val="Arial"/>
        <family val="2"/>
      </rPr>
      <t>V (cm3)</t>
    </r>
  </si>
  <si>
    <t>Data to be calculated:</t>
  </si>
  <si>
    <t>P</t>
  </si>
  <si>
    <t>(1000SCF)</t>
  </si>
  <si>
    <t>(GOR)i</t>
  </si>
  <si>
    <t>(SCF/Sbbl)</t>
  </si>
  <si>
    <r>
      <t>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Gp)i</t>
    </r>
  </si>
  <si>
    <r>
      <t>S(D</t>
    </r>
    <r>
      <rPr>
        <b/>
        <sz val="10"/>
        <rFont val="Arial"/>
        <family val="2"/>
      </rPr>
      <t>Gp)i</t>
    </r>
  </si>
  <si>
    <r>
      <t>(D</t>
    </r>
    <r>
      <rPr>
        <b/>
        <sz val="10"/>
        <rFont val="Arial"/>
        <family val="2"/>
      </rPr>
      <t>Vg)i</t>
    </r>
  </si>
  <si>
    <r>
      <t>S(D</t>
    </r>
    <r>
      <rPr>
        <b/>
        <sz val="10"/>
        <rFont val="Arial"/>
        <family val="2"/>
      </rPr>
      <t>Vg)i</t>
    </r>
  </si>
  <si>
    <r>
      <t>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Vo)i</t>
    </r>
  </si>
  <si>
    <r>
      <t>S(D</t>
    </r>
    <r>
      <rPr>
        <b/>
        <sz val="10"/>
        <rFont val="Arial"/>
        <family val="2"/>
      </rPr>
      <t>Vo)i</t>
    </r>
  </si>
  <si>
    <r>
      <t>%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Gp</t>
    </r>
  </si>
  <si>
    <r>
      <t>%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Vg</t>
    </r>
  </si>
  <si>
    <r>
      <t>%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Vo</t>
    </r>
  </si>
  <si>
    <t xml:space="preserve">       </t>
  </si>
  <si>
    <t>HCPV (SCF)</t>
  </si>
  <si>
    <t>SCF</t>
  </si>
  <si>
    <t>239,85 (1000SCF)</t>
  </si>
  <si>
    <t>Mole fraction of STO produced at 2500 psia:</t>
  </si>
  <si>
    <r>
      <t>(</t>
    </r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n)</t>
    </r>
    <r>
      <rPr>
        <vertAlign val="subscript"/>
        <sz val="12"/>
        <rFont val="Times New Roman"/>
        <family val="1"/>
      </rPr>
      <t>L1</t>
    </r>
    <r>
      <rPr>
        <sz val="12"/>
        <rFont val="Times New Roman"/>
        <family val="1"/>
      </rPr>
      <t xml:space="preserve"> = 0,25z</t>
    </r>
    <r>
      <rPr>
        <vertAlign val="subscript"/>
        <sz val="12"/>
        <rFont val="Times New Roman"/>
        <family val="1"/>
      </rPr>
      <t>C4</t>
    </r>
    <r>
      <rPr>
        <sz val="12"/>
        <rFont val="Times New Roman"/>
        <family val="1"/>
      </rPr>
      <t xml:space="preserve"> + 0,50z</t>
    </r>
    <r>
      <rPr>
        <vertAlign val="subscript"/>
        <sz val="12"/>
        <rFont val="Times New Roman"/>
        <family val="1"/>
      </rPr>
      <t>C5</t>
    </r>
    <r>
      <rPr>
        <sz val="12"/>
        <rFont val="Times New Roman"/>
        <family val="1"/>
      </rPr>
      <t xml:space="preserve"> + 0,75z</t>
    </r>
    <r>
      <rPr>
        <vertAlign val="subscript"/>
        <sz val="12"/>
        <rFont val="Times New Roman"/>
        <family val="1"/>
      </rPr>
      <t>C6</t>
    </r>
    <r>
      <rPr>
        <sz val="12"/>
        <rFont val="Times New Roman"/>
        <family val="1"/>
      </rPr>
      <t xml:space="preserve"> + 1,0z</t>
    </r>
    <r>
      <rPr>
        <vertAlign val="subscript"/>
        <sz val="12"/>
        <rFont val="Times New Roman"/>
        <family val="1"/>
      </rPr>
      <t>C7+</t>
    </r>
  </si>
  <si>
    <t>Volume gas becoming liquid:</t>
  </si>
  <si>
    <r>
      <t>(</t>
    </r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G)</t>
    </r>
    <r>
      <rPr>
        <vertAlign val="subscript"/>
        <sz val="12"/>
        <rFont val="Times New Roman"/>
        <family val="1"/>
      </rPr>
      <t>L1</t>
    </r>
    <r>
      <rPr>
        <sz val="12"/>
        <rFont val="Times New Roman"/>
        <family val="1"/>
      </rPr>
      <t xml:space="preserve"> = (</t>
    </r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n)</t>
    </r>
    <r>
      <rPr>
        <vertAlign val="subscript"/>
        <sz val="12"/>
        <rFont val="Times New Roman"/>
        <family val="1"/>
      </rPr>
      <t>L1</t>
    </r>
    <r>
      <rPr>
        <sz val="12"/>
        <rFont val="Times New Roman"/>
        <family val="1"/>
      </rPr>
      <t>*(</t>
    </r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G</t>
    </r>
    <r>
      <rPr>
        <vertAlign val="subscript"/>
        <sz val="12"/>
        <rFont val="Times New Roman"/>
        <family val="1"/>
      </rPr>
      <t>p</t>
    </r>
    <r>
      <rPr>
        <sz val="12"/>
        <rFont val="Times New Roman"/>
        <family val="1"/>
      </rPr>
      <t>)</t>
    </r>
    <r>
      <rPr>
        <vertAlign val="subscript"/>
        <sz val="12"/>
        <rFont val="Times New Roman"/>
        <family val="1"/>
      </rPr>
      <t>1</t>
    </r>
  </si>
  <si>
    <t>Volume separator gas produced at 2500 psia:</t>
  </si>
  <si>
    <r>
      <t>(</t>
    </r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V</t>
    </r>
    <r>
      <rPr>
        <vertAlign val="subscript"/>
        <sz val="12"/>
        <rFont val="Times New Roman"/>
        <family val="1"/>
      </rPr>
      <t>g</t>
    </r>
    <r>
      <rPr>
        <sz val="12"/>
        <rFont val="Times New Roman"/>
        <family val="1"/>
      </rPr>
      <t>)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= (</t>
    </r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G</t>
    </r>
    <r>
      <rPr>
        <vertAlign val="subscript"/>
        <sz val="12"/>
        <rFont val="Times New Roman"/>
        <family val="1"/>
      </rPr>
      <t>p</t>
    </r>
    <r>
      <rPr>
        <sz val="12"/>
        <rFont val="Times New Roman"/>
        <family val="1"/>
      </rPr>
      <t>)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– (</t>
    </r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G)</t>
    </r>
    <r>
      <rPr>
        <vertAlign val="subscript"/>
        <sz val="12"/>
        <rFont val="Times New Roman"/>
        <family val="1"/>
      </rPr>
      <t>L1</t>
    </r>
  </si>
  <si>
    <t>224,86 (1000SCF)</t>
  </si>
  <si>
    <r>
      <t xml:space="preserve">Column 2; </t>
    </r>
    <r>
      <rPr>
        <b/>
        <sz val="10"/>
        <rFont val="Symbol"/>
        <family val="1"/>
        <charset val="2"/>
      </rPr>
      <t>(D</t>
    </r>
    <r>
      <rPr>
        <b/>
        <sz val="10"/>
        <rFont val="Arial"/>
        <family val="2"/>
      </rPr>
      <t>Gp)i.:</t>
    </r>
  </si>
  <si>
    <t>Liquid volume of each component (C4 to C7+):</t>
  </si>
  <si>
    <t>Example for C4:</t>
  </si>
  <si>
    <r>
      <t>(V</t>
    </r>
    <r>
      <rPr>
        <vertAlign val="subscript"/>
        <sz val="12"/>
        <rFont val="Times New Roman"/>
        <family val="1"/>
      </rPr>
      <t>L</t>
    </r>
    <r>
      <rPr>
        <sz val="12"/>
        <rFont val="Times New Roman"/>
        <family val="1"/>
      </rPr>
      <t>)</t>
    </r>
    <r>
      <rPr>
        <vertAlign val="subscript"/>
        <sz val="12"/>
        <rFont val="Times New Roman"/>
        <family val="1"/>
      </rPr>
      <t>C4</t>
    </r>
    <r>
      <rPr>
        <sz val="12"/>
        <rFont val="Times New Roman"/>
        <family val="1"/>
      </rPr>
      <t xml:space="preserve"> = 0,25*z</t>
    </r>
    <r>
      <rPr>
        <vertAlign val="subscript"/>
        <sz val="12"/>
        <rFont val="Times New Roman"/>
        <family val="1"/>
      </rPr>
      <t>C4</t>
    </r>
    <r>
      <rPr>
        <sz val="12"/>
        <rFont val="Times New Roman"/>
        <family val="1"/>
      </rPr>
      <t>*(</t>
    </r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G</t>
    </r>
    <r>
      <rPr>
        <vertAlign val="subscript"/>
        <sz val="12"/>
        <rFont val="Times New Roman"/>
        <family val="1"/>
      </rPr>
      <t>p</t>
    </r>
    <r>
      <rPr>
        <sz val="12"/>
        <rFont val="Times New Roman"/>
        <family val="1"/>
      </rPr>
      <t>)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*32,04   (Gal)</t>
    </r>
  </si>
  <si>
    <t>C4: (Gal)</t>
  </si>
  <si>
    <t>C5: (Gal)</t>
  </si>
  <si>
    <t>C6: (Gal)</t>
  </si>
  <si>
    <t>C7+: (Gal)</t>
  </si>
  <si>
    <t>or:</t>
  </si>
  <si>
    <t>Sbbl</t>
  </si>
  <si>
    <t>(1 bbl = 42,117 US Gallon)</t>
  </si>
  <si>
    <r>
      <t>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Vo)1=</t>
    </r>
  </si>
  <si>
    <r>
      <t xml:space="preserve">Column 6; </t>
    </r>
    <r>
      <rPr>
        <b/>
        <sz val="10"/>
        <rFont val="Symbol"/>
        <family val="1"/>
        <charset val="2"/>
      </rPr>
      <t xml:space="preserve"> (D</t>
    </r>
    <r>
      <rPr>
        <b/>
        <sz val="10"/>
        <rFont val="Arial"/>
        <family val="2"/>
      </rPr>
      <t>Vo)i:  Volume of oil at 2500 psia.</t>
    </r>
  </si>
  <si>
    <t>The initial GOR is calculated according to:</t>
  </si>
  <si>
    <t xml:space="preserve">Based on 1 acft, the gas liquid volumes (IGIP and IOIP) are calculated according to the procedure described under Column 6, using the initial well stream composition.   </t>
  </si>
  <si>
    <t>C5:  (Gal)</t>
  </si>
  <si>
    <t>or</t>
  </si>
  <si>
    <t>IGP (SCF)</t>
  </si>
  <si>
    <t>At Pres = 2500 psia:</t>
  </si>
  <si>
    <t>(GOR)init.=</t>
  </si>
  <si>
    <t>(GOR)1=</t>
  </si>
  <si>
    <t>2900 to 2500 psia:</t>
  </si>
  <si>
    <r>
      <t>%(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 xml:space="preserve">Gp)1 </t>
    </r>
  </si>
  <si>
    <r>
      <t>%(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Vg)1</t>
    </r>
  </si>
  <si>
    <t>2900 to 2500 psia</t>
  </si>
  <si>
    <r>
      <t>%</t>
    </r>
    <r>
      <rPr>
        <b/>
        <sz val="10"/>
        <rFont val="Symbol"/>
        <family val="1"/>
        <charset val="2"/>
      </rPr>
      <t>(D</t>
    </r>
    <r>
      <rPr>
        <b/>
        <sz val="10"/>
        <rFont val="Arial"/>
        <family val="2"/>
      </rPr>
      <t>Vo)1</t>
    </r>
  </si>
  <si>
    <t>Problem 6; PVT-analysis</t>
  </si>
  <si>
    <t>Reservoir data for a gas condensate are given:</t>
  </si>
  <si>
    <t xml:space="preserve">Fluids (oil and gas) are sampled at the test separator, recombined according to correct GOR, and a CVD-analysis was performed. </t>
  </si>
  <si>
    <t>This gives:</t>
  </si>
  <si>
    <t>Data needed:</t>
  </si>
  <si>
    <r>
      <t>D</t>
    </r>
    <r>
      <rPr>
        <sz val="10"/>
        <rFont val="Arial"/>
      </rPr>
      <t>V1 (cm3)</t>
    </r>
  </si>
  <si>
    <t>Zd</t>
  </si>
  <si>
    <t>P1 (psia)</t>
  </si>
  <si>
    <t>Vcell (cm3)</t>
  </si>
  <si>
    <t>Z1</t>
  </si>
  <si>
    <t>Pd</t>
  </si>
  <si>
    <t xml:space="preserve"> PS!    Examples are shown for the first pressure step 4000 to 3500 psia.</t>
  </si>
  <si>
    <r>
      <t>For each pressure interval, calculate the volumes of wellstream (</t>
    </r>
    <r>
      <rPr>
        <sz val="10"/>
        <rFont val="Symbol"/>
        <family val="1"/>
        <charset val="2"/>
      </rPr>
      <t>D</t>
    </r>
    <r>
      <rPr>
        <sz val="10"/>
        <rFont val="Arial"/>
      </rPr>
      <t>Gp)i, separator gas (</t>
    </r>
    <r>
      <rPr>
        <sz val="10"/>
        <rFont val="Symbol"/>
        <family val="1"/>
        <charset val="2"/>
      </rPr>
      <t>D</t>
    </r>
    <r>
      <rPr>
        <sz val="10"/>
        <rFont val="Arial"/>
      </rPr>
      <t>Vg)i, and STO (</t>
    </r>
    <r>
      <rPr>
        <sz val="10"/>
        <rFont val="Symbol"/>
        <family val="1"/>
        <charset val="2"/>
      </rPr>
      <t>D</t>
    </r>
    <r>
      <rPr>
        <sz val="10"/>
        <rFont val="Arial"/>
      </rPr>
      <t xml:space="preserve">Vo)i as (SCF) based on an initial volume of 1E6 SCF </t>
    </r>
  </si>
  <si>
    <t>of reservoir fluid.( i = pressure step number)</t>
  </si>
  <si>
    <r>
      <t>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Gp)1 (SCF)</t>
    </r>
  </si>
  <si>
    <t>(GPM)well (Gal/1000SCF)</t>
  </si>
  <si>
    <r>
      <t>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Vo)1 (Sbbl)</t>
    </r>
  </si>
  <si>
    <t>(GOR)1 (SCF/Sbbl)</t>
  </si>
  <si>
    <r>
      <t>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Vg)1  (SCF)</t>
    </r>
  </si>
  <si>
    <t>Based on the data given, calculate IGIP (SCF) and IOIP (Sbbl) in 1E6 SCF well stream.</t>
  </si>
  <si>
    <t>(GOR)initial (SCF/Sbbl)</t>
  </si>
  <si>
    <t>(1Sbbl = 42,117 US Gallon)</t>
  </si>
  <si>
    <t>% recoveries are calculated based on the IOIP, IGIP, and 1E6 SCF wellstream.</t>
  </si>
  <si>
    <t>Calculate the recovery of well stream, separator gas, and STO based on 1 acft = 43560 ft3 bulk reservoir volume.</t>
  </si>
  <si>
    <t>HCPV (ft3)</t>
  </si>
  <si>
    <t>Equation of state gives (HCPV)sc:</t>
  </si>
  <si>
    <t>(HCPV)sc (SCF)</t>
  </si>
  <si>
    <t>Calculation factor related to the calculated data using 1E6 SCF as basis:</t>
  </si>
  <si>
    <t>Thus, by multiplying the previous calculated data by the factor 0,8805, one obtains recoveries based on 1 acft res. volume.</t>
  </si>
  <si>
    <t>e.</t>
  </si>
  <si>
    <t>Suppose Sor = 0.15, the discuss the relevance in the recovery calculations based on the CVD-analysis.</t>
  </si>
  <si>
    <t>At So = 0.15, oil becomes mobile, i. e. both oil and gas are moving towards the production well.</t>
  </si>
  <si>
    <t>At pressures below about 3000 psia, So &gt; 0.15, and two-phase flow of gas and oil is a reality.</t>
  </si>
  <si>
    <t xml:space="preserve">Remember, CVD-analysis is based on only gas flow from the PVT-cell, therefore, recovery calculations based on </t>
  </si>
  <si>
    <t>CVD-analysis alone underestimates the recovery of STO at pressures below 3000 psia.</t>
  </si>
  <si>
    <t>f.</t>
  </si>
  <si>
    <t>Suppose Pi = 5713 psia. Calculate the additional recovery of volume wellstream (sc), volume sep. gas (sc), and volume STO.</t>
  </si>
  <si>
    <t>Material balance:</t>
  </si>
  <si>
    <t>Equation of state gives:</t>
  </si>
  <si>
    <t>Pi (psia)</t>
  </si>
  <si>
    <t>Given: Pd = 4000 psia; Zi = 1.107 at Pi and Tres.</t>
  </si>
  <si>
    <t>Zi</t>
  </si>
  <si>
    <t>np (lb-mol)</t>
  </si>
  <si>
    <r>
      <t>D</t>
    </r>
    <r>
      <rPr>
        <b/>
        <sz val="10"/>
        <rFont val="Arial"/>
        <family val="2"/>
      </rPr>
      <t>Gw (SCF)</t>
    </r>
  </si>
  <si>
    <r>
      <t>D</t>
    </r>
    <r>
      <rPr>
        <b/>
        <sz val="10"/>
        <rFont val="Arial"/>
        <family val="2"/>
      </rPr>
      <t>Vsto (Sbbl)</t>
    </r>
  </si>
  <si>
    <r>
      <t>D</t>
    </r>
    <r>
      <rPr>
        <b/>
        <sz val="10"/>
        <rFont val="Arial"/>
        <family val="2"/>
      </rPr>
      <t>Vg (SCF)</t>
    </r>
  </si>
  <si>
    <t>re (ft)</t>
  </si>
  <si>
    <t>h (ft)</t>
  </si>
  <si>
    <t>Pe (psia)</t>
  </si>
  <si>
    <t>Bw</t>
  </si>
  <si>
    <t>t(BT) (D)</t>
  </si>
  <si>
    <t>Np (Sbbl)</t>
  </si>
  <si>
    <t>fw</t>
  </si>
  <si>
    <t>Problem 8. Well-coning</t>
  </si>
  <si>
    <t>A 30 ft thick horisontal and circular oil reservoir has a gas cap and an impermeable layer at the bottom.</t>
  </si>
  <si>
    <t>hc (ft)</t>
  </si>
  <si>
    <t>(perforation zone)</t>
  </si>
  <si>
    <r>
      <t>r</t>
    </r>
    <r>
      <rPr>
        <sz val="10"/>
        <rFont val="Arial"/>
      </rPr>
      <t>o (g/cm3)</t>
    </r>
  </si>
  <si>
    <t>ko (mD)</t>
  </si>
  <si>
    <t>(at Swr)</t>
  </si>
  <si>
    <r>
      <t>m</t>
    </r>
    <r>
      <rPr>
        <sz val="10"/>
        <rFont val="Arial"/>
      </rPr>
      <t>o (cP)</t>
    </r>
  </si>
  <si>
    <t>At the bottom of the oil reservoir in order to prevent gas production.</t>
  </si>
  <si>
    <t>Where should the perforation intervall be placed for optimal oil production ? Give a reason.</t>
  </si>
  <si>
    <t>Show that the maximum gas-free oil production rate is given by:</t>
  </si>
  <si>
    <t>qo: (res bbl/D)</t>
  </si>
  <si>
    <r>
      <t>r</t>
    </r>
    <r>
      <rPr>
        <sz val="10"/>
        <rFont val="Arial"/>
      </rPr>
      <t>w (ft)</t>
    </r>
  </si>
  <si>
    <r>
      <t>r</t>
    </r>
    <r>
      <rPr>
        <sz val="10"/>
        <rFont val="Arial"/>
      </rPr>
      <t>g (g/cm3)</t>
    </r>
  </si>
  <si>
    <t>C = 1,535   a system constant for the special units used.</t>
  </si>
  <si>
    <t>The problem is solved on p. 20 in the text, note that hc = h-D.</t>
  </si>
  <si>
    <t>In order to derive the formula in b., some assumtions are made.</t>
  </si>
  <si>
    <t>What are these assumptions ?</t>
  </si>
  <si>
    <t>Discuss how they influence (qo)cal vs. (qo)field.</t>
  </si>
  <si>
    <t>What is the influence if the vertcal permeability is much less that horizontal permeability, kv&lt;&lt;kh.?</t>
  </si>
  <si>
    <t>Short solution:</t>
  </si>
  <si>
    <t>1. The gas cone is supposed established.</t>
  </si>
  <si>
    <t xml:space="preserve">2. Pc=0; no transition zone between the gas and oil zone, in reality this is not the case. </t>
  </si>
  <si>
    <t xml:space="preserve">Due to restrictions in oil flow in the transition zone of the cone, the calculated value of qo is too high. </t>
  </si>
  <si>
    <t>If kv&lt;&lt;kh there are restrictions in the vertical flow of oil, and the calculated value of qo is too high.</t>
  </si>
  <si>
    <t>3. Pure radiell flow of oil is supposed, kv is supposed to be very very high, in reality this is not the case</t>
  </si>
  <si>
    <t>Restrictions in the fluid flow close to the perforation in the well can be desdribed as a "skin-effect".</t>
  </si>
  <si>
    <t>Explain how, and derive the formula below by means of Darcy´s low.</t>
  </si>
  <si>
    <t>Make a figure and explain the symbols.</t>
  </si>
  <si>
    <t>rs:  radius of the zone close to the well with with different properties compared to the total reservoir</t>
  </si>
  <si>
    <t>ks:  average permeability of the zone with skin effects.</t>
  </si>
  <si>
    <t>Darcy´s law for a circular horizontal reservoir:</t>
  </si>
  <si>
    <t>C = 7.082/1000  is a system constant using petroleum field units.</t>
  </si>
  <si>
    <t>Darcy´s law with "skin":</t>
  </si>
  <si>
    <t>According to Darcy´s law, the following two equations determine the oil flow through the reservoir zones:</t>
  </si>
  <si>
    <t>(I)</t>
  </si>
  <si>
    <t>(II)</t>
  </si>
  <si>
    <t>(I) + (II) gives:</t>
  </si>
  <si>
    <t>Thus, according to the discussion above:</t>
  </si>
  <si>
    <t>Calculate (qo)max from the formula given in b.</t>
  </si>
  <si>
    <t>Calculate the pressure in the well based on a "skin factor" of 0.8.</t>
  </si>
  <si>
    <t>(qo)max (res bbl/D)</t>
  </si>
  <si>
    <t>ko (Darcy)</t>
  </si>
  <si>
    <t>PS! ko is in Darcy.</t>
  </si>
  <si>
    <t>PS! ko must be given in Darcy.</t>
  </si>
  <si>
    <t>Pw (psia)</t>
  </si>
  <si>
    <t>Pw is determined from formula in d. using s = +0.8 and (qo)max = 3.342 res bbl/D and the data listed.</t>
  </si>
  <si>
    <t>Problem 10, Immiscible displacement</t>
  </si>
  <si>
    <t>qt (res bbl/D)</t>
  </si>
  <si>
    <t>A (ft2)</t>
  </si>
  <si>
    <t>L (ft)</t>
  </si>
  <si>
    <t>f</t>
  </si>
  <si>
    <t>k (mD)</t>
  </si>
  <si>
    <r>
      <t>m</t>
    </r>
    <r>
      <rPr>
        <sz val="10"/>
        <rFont val="Arial"/>
      </rPr>
      <t>w (cP)</t>
    </r>
  </si>
  <si>
    <t>Sorw</t>
  </si>
  <si>
    <t xml:space="preserve">Bo </t>
  </si>
  <si>
    <t>Relative permeability table:</t>
  </si>
  <si>
    <t>Sw</t>
  </si>
  <si>
    <t>krw</t>
  </si>
  <si>
    <t xml:space="preserve">kro </t>
  </si>
  <si>
    <t xml:space="preserve">Solution: </t>
  </si>
  <si>
    <t>Formula for fw:</t>
  </si>
  <si>
    <t>kro/krw</t>
  </si>
  <si>
    <t>-</t>
  </si>
  <si>
    <r>
      <t>m</t>
    </r>
    <r>
      <rPr>
        <sz val="10"/>
        <rFont val="Arial"/>
      </rPr>
      <t>w/</t>
    </r>
    <r>
      <rPr>
        <sz val="10"/>
        <rFont val="Symbol"/>
        <family val="1"/>
        <charset val="2"/>
      </rPr>
      <t>m</t>
    </r>
    <r>
      <rPr>
        <sz val="10"/>
        <rFont val="Arial"/>
      </rPr>
      <t>o</t>
    </r>
  </si>
  <si>
    <t>(Sw)av</t>
  </si>
  <si>
    <t>(fw)f</t>
  </si>
  <si>
    <t>(Calculate two saturation points between injector and producer.)</t>
  </si>
  <si>
    <t>Swf</t>
  </si>
  <si>
    <t>Two values of Sw between: Sw = 1-Sor = 0,80 and Swf = 0,512 are selected.</t>
  </si>
  <si>
    <t>Sw = 0,55 and Sw = 0,65</t>
  </si>
  <si>
    <t>dfw/dSw</t>
  </si>
  <si>
    <t>l (ft)</t>
  </si>
  <si>
    <t>PS! Check units when using the formula.</t>
  </si>
  <si>
    <t>The production is ended when WOR=20 (measured at sc).</t>
  </si>
  <si>
    <t>Determine fw, Np, and %oil recovery when WOR=20.</t>
  </si>
  <si>
    <t>WOR</t>
  </si>
  <si>
    <t xml:space="preserve">Draw the tangent at this saturation and determine (Sw)av: </t>
  </si>
  <si>
    <t>Np from formula:</t>
  </si>
  <si>
    <t>% recovery based on producable oil:</t>
  </si>
  <si>
    <t>% recovery</t>
  </si>
  <si>
    <t>What is the pressure difference between the injector and producer at the production start ?</t>
  </si>
  <si>
    <t>Explain shortly how to determine an upper and a lower value for the pressure difference at the stop of the production.</t>
  </si>
  <si>
    <t>Darcy´s law in petroleum units for a linear reservoir:</t>
  </si>
  <si>
    <r>
      <t>D</t>
    </r>
    <r>
      <rPr>
        <b/>
        <sz val="10"/>
        <rFont val="Arial"/>
        <family val="2"/>
      </rPr>
      <t>P (psia)</t>
    </r>
  </si>
  <si>
    <t>At the production stop:</t>
  </si>
  <si>
    <t>(Sw)p &lt; Sw &lt; 1-Sorw</t>
  </si>
  <si>
    <t>0,645 &lt; Sw &lt; 0,80</t>
  </si>
  <si>
    <t>Lower pressure limit when only water is flooding, Sw = 1-Sor = 0,80</t>
  </si>
  <si>
    <t xml:space="preserve">(Sw)p </t>
  </si>
  <si>
    <t>The upper limit for the pressure difference is obtained by assuming  Sw = 0,645, which is the saturation close to the well at production stop.</t>
  </si>
  <si>
    <t>We do permeability data for Sw = 0,65, which is close to tre value 0.645.</t>
  </si>
  <si>
    <t>Thus:</t>
  </si>
  <si>
    <t>kro</t>
  </si>
  <si>
    <t>From table.</t>
  </si>
  <si>
    <t>Darcy´s law for the water flow:</t>
  </si>
  <si>
    <t>(produced STO and water are converted to GE)</t>
  </si>
  <si>
    <t>estimate of well stream volume as gas initial in place (Sm3).</t>
  </si>
  <si>
    <t>Formula derived on pp. 13-14.</t>
  </si>
  <si>
    <t>P-T diagrams for (1) Dry gas; (2) Wet gas; (3) Gas condensate.</t>
  </si>
  <si>
    <t>Given formula for GE on p. 15.</t>
  </si>
  <si>
    <t>Page 20.</t>
  </si>
  <si>
    <t>Uses Newton-Raphson´s method on pp. 19-20.</t>
  </si>
  <si>
    <t>CVD-analysis of the fluid is performed. Compositional data and volumetric data are given in Table 1.</t>
  </si>
  <si>
    <t>PS!      Examples for the calculation of data in Table 2 are given by performing calculations for the first depletion step</t>
  </si>
  <si>
    <t>Composition of well stream as mole fractions:</t>
  </si>
  <si>
    <r>
      <t>Column 4;   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Vg)i  (volume of separator gas at sc from each pressure step)</t>
    </r>
  </si>
  <si>
    <t>Column 3;  Cumulative production of well steam. (Summing the data from Column 2)</t>
  </si>
  <si>
    <t>Column 5.  Cumulative production of separator gas. (Summing data from Column 4).</t>
  </si>
  <si>
    <t>Column 7; Cumulative production of STO (Summing data from Column 6.)</t>
  </si>
  <si>
    <t>Column 8;   (GOR)i : average GOR for each pressure step.</t>
  </si>
  <si>
    <r>
      <t xml:space="preserve">Column 9; % 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 xml:space="preserve">Gp (cumulative)  % recovery of cumulative well stream based on 1 acft. </t>
    </r>
  </si>
  <si>
    <r>
      <t>Column 10;  %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Vg (cum.)  % recovery of cumulative produced sep. gas based on IGIP.</t>
    </r>
  </si>
  <si>
    <r>
      <t>Column 11;  %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Vo (cum.)  % recovery of cumulative STO based on IOIP</t>
    </r>
  </si>
  <si>
    <t>(cum.)</t>
  </si>
  <si>
    <t>Calculate the volumetric depletion (i. e. Data in Table C) from a gas condensate based on 1 acft = 43560 ft3 bulk reservoir volume</t>
  </si>
  <si>
    <t>Data from the analysis are presented in Table 1.</t>
  </si>
  <si>
    <t>Calculate cumulative recovery and % recovery for wellstream, separator gas, and STO based on 1E6 SCF well stream.</t>
  </si>
  <si>
    <t>Cumulative recovery for each pressure step as a. Repeated, and then summing the data.</t>
  </si>
  <si>
    <t>A waterflood is performed in a linear horizontal oil reservoir.</t>
  </si>
  <si>
    <t>Use the B-L equation to solve the listed problems.</t>
  </si>
  <si>
    <t>Calculate the time for water breakthrough, t(BT), average water saturation in the reservoir, produced oil, and fractional flow of water at that time.</t>
  </si>
  <si>
    <t>From tangent drawings:</t>
  </si>
  <si>
    <t>Draw a water saturation profile in the reservoir at t(BT).</t>
  </si>
  <si>
    <t>Tangents to the water fractional flow curve are drawn for these two values, and the slopes are determined.</t>
  </si>
  <si>
    <t>The lenght these saturations has moved during the time t(BT) is determined from:</t>
  </si>
  <si>
    <t>from graph.</t>
  </si>
  <si>
    <t>Vg/(P/Z)</t>
  </si>
  <si>
    <t>(Vg=Gp)</t>
  </si>
  <si>
    <t>(1atm=14,7psia)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</si>
</sst>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"/>
    <numFmt numFmtId="166" formatCode="0.0"/>
    <numFmt numFmtId="167" formatCode="0.000E+00"/>
    <numFmt numFmtId="168" formatCode="0.0000000"/>
    <numFmt numFmtId="169" formatCode="0.000000000000"/>
  </numFmts>
  <fonts count="26" x14ac:knownFonts="1">
    <font>
      <sz val="10"/>
      <name val="Arial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Symbol"/>
      <family val="1"/>
      <charset val="2"/>
    </font>
    <font>
      <sz val="10"/>
      <name val="Arial"/>
      <family val="2"/>
    </font>
    <font>
      <u/>
      <sz val="16"/>
      <color indexed="10"/>
      <name val="Arial"/>
      <family val="2"/>
    </font>
    <font>
      <b/>
      <u/>
      <sz val="16"/>
      <color indexed="10"/>
      <name val="Arial"/>
      <family val="2"/>
    </font>
    <font>
      <u/>
      <sz val="10"/>
      <color indexed="10"/>
      <name val="Arial"/>
      <family val="2"/>
    </font>
    <font>
      <i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6"/>
      <color indexed="10"/>
      <name val="Arial"/>
      <family val="2"/>
    </font>
    <font>
      <b/>
      <sz val="10"/>
      <name val="Arial"/>
    </font>
    <font>
      <b/>
      <sz val="10"/>
      <name val="Symbol"/>
      <family val="1"/>
      <charset val="2"/>
    </font>
    <font>
      <sz val="12"/>
      <name val="Symbol"/>
      <family val="1"/>
      <charset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166" fontId="0" fillId="0" borderId="0" xfId="0" applyNumberFormat="1"/>
    <xf numFmtId="0" fontId="0" fillId="3" borderId="0" xfId="0" applyFill="1"/>
    <xf numFmtId="0" fontId="7" fillId="0" borderId="0" xfId="0" applyFont="1"/>
    <xf numFmtId="0" fontId="0" fillId="0" borderId="0" xfId="0" applyFill="1"/>
    <xf numFmtId="164" fontId="0" fillId="0" borderId="0" xfId="0" applyNumberFormat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0" borderId="0" xfId="0" applyFont="1"/>
    <xf numFmtId="0" fontId="2" fillId="2" borderId="0" xfId="0" applyFont="1" applyFill="1"/>
    <xf numFmtId="0" fontId="0" fillId="4" borderId="0" xfId="0" applyFill="1"/>
    <xf numFmtId="0" fontId="13" fillId="2" borderId="0" xfId="0" applyFont="1" applyFill="1"/>
    <xf numFmtId="0" fontId="14" fillId="2" borderId="0" xfId="0" applyFont="1" applyFill="1"/>
    <xf numFmtId="164" fontId="0" fillId="4" borderId="0" xfId="0" applyNumberFormat="1" applyFill="1"/>
    <xf numFmtId="0" fontId="15" fillId="2" borderId="0" xfId="0" applyFont="1" applyFill="1"/>
    <xf numFmtId="0" fontId="1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15" fillId="5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164" fontId="15" fillId="5" borderId="0" xfId="0" applyNumberFormat="1" applyFont="1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16" fillId="2" borderId="0" xfId="0" applyFont="1" applyFill="1"/>
    <xf numFmtId="0" fontId="15" fillId="5" borderId="0" xfId="0" applyFont="1" applyFill="1"/>
    <xf numFmtId="166" fontId="15" fillId="5" borderId="0" xfId="0" applyNumberFormat="1" applyFont="1" applyFill="1"/>
    <xf numFmtId="165" fontId="15" fillId="5" borderId="0" xfId="0" applyNumberFormat="1" applyFont="1" applyFill="1"/>
    <xf numFmtId="11" fontId="0" fillId="0" borderId="0" xfId="0" applyNumberFormat="1"/>
    <xf numFmtId="0" fontId="0" fillId="5" borderId="0" xfId="0" applyFill="1"/>
    <xf numFmtId="167" fontId="15" fillId="5" borderId="0" xfId="0" applyNumberFormat="1" applyFont="1" applyFill="1"/>
    <xf numFmtId="2" fontId="0" fillId="4" borderId="0" xfId="0" applyNumberFormat="1" applyFill="1"/>
    <xf numFmtId="1" fontId="15" fillId="5" borderId="0" xfId="0" applyNumberFormat="1" applyFont="1" applyFill="1"/>
    <xf numFmtId="2" fontId="15" fillId="5" borderId="0" xfId="0" applyNumberFormat="1" applyFont="1" applyFill="1"/>
    <xf numFmtId="0" fontId="0" fillId="6" borderId="0" xfId="0" applyFill="1"/>
    <xf numFmtId="0" fontId="15" fillId="0" borderId="0" xfId="0" applyFont="1"/>
    <xf numFmtId="0" fontId="17" fillId="0" borderId="0" xfId="0" applyFont="1"/>
    <xf numFmtId="0" fontId="17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5" fillId="0" borderId="0" xfId="0" applyFont="1" applyAlignment="1">
      <alignment horizontal="left" indent="2"/>
    </xf>
    <xf numFmtId="166" fontId="17" fillId="5" borderId="0" xfId="0" applyNumberFormat="1" applyFont="1" applyFill="1"/>
    <xf numFmtId="2" fontId="17" fillId="5" borderId="0" xfId="0" applyNumberFormat="1" applyFont="1" applyFill="1"/>
    <xf numFmtId="0" fontId="17" fillId="5" borderId="0" xfId="0" applyFont="1" applyFill="1"/>
    <xf numFmtId="167" fontId="17" fillId="5" borderId="0" xfId="0" applyNumberFormat="1" applyFont="1" applyFill="1"/>
    <xf numFmtId="165" fontId="17" fillId="5" borderId="0" xfId="0" applyNumberFormat="1" applyFont="1" applyFill="1"/>
    <xf numFmtId="0" fontId="14" fillId="0" borderId="0" xfId="0" applyFont="1"/>
    <xf numFmtId="0" fontId="20" fillId="0" borderId="0" xfId="0" applyFont="1"/>
    <xf numFmtId="0" fontId="21" fillId="0" borderId="0" xfId="0" applyFont="1"/>
    <xf numFmtId="0" fontId="18" fillId="5" borderId="0" xfId="0" applyFont="1" applyFill="1"/>
    <xf numFmtId="1" fontId="17" fillId="5" borderId="0" xfId="0" applyNumberFormat="1" applyFont="1" applyFill="1"/>
    <xf numFmtId="0" fontId="8" fillId="0" borderId="0" xfId="0" applyFont="1"/>
    <xf numFmtId="0" fontId="22" fillId="0" borderId="0" xfId="0" applyFont="1"/>
    <xf numFmtId="0" fontId="23" fillId="2" borderId="0" xfId="0" applyFont="1" applyFill="1"/>
    <xf numFmtId="0" fontId="0" fillId="3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1" xfId="0" applyBorder="1"/>
    <xf numFmtId="168" fontId="0" fillId="4" borderId="0" xfId="0" applyNumberFormat="1" applyFill="1"/>
    <xf numFmtId="169" fontId="0" fillId="0" borderId="0" xfId="0" applyNumberFormat="1" applyFill="1"/>
  </cellXfs>
  <cellStyles count="3">
    <cellStyle name="Fulgt hyperkobling" xfId="2" builtinId="9" hidden="1"/>
    <cellStyle name="Hyperkobling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7480916030534"/>
          <c:y val="0.03666678602469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7175572519084"/>
          <c:y val="0.203333995227849"/>
          <c:w val="0.484732824427481"/>
          <c:h val="0.566668511290727"/>
        </c:manualLayout>
      </c:layout>
      <c:scatterChart>
        <c:scatterStyle val="lineMarker"/>
        <c:varyColors val="0"/>
        <c:ser>
          <c:idx val="0"/>
          <c:order val="0"/>
          <c:tx>
            <c:v>Sep. gas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43613612229769"/>
                  <c:y val="-0.52777981514383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</c:trendlineLbl>
          </c:trendline>
          <c:xVal>
            <c:numRef>
              <c:f>Prob.1!$D$43:$D$48</c:f>
              <c:numCache>
                <c:formatCode>General</c:formatCode>
                <c:ptCount val="6"/>
                <c:pt idx="0">
                  <c:v>0.0</c:v>
                </c:pt>
                <c:pt idx="1">
                  <c:v>6.61272E8</c:v>
                </c:pt>
                <c:pt idx="2">
                  <c:v>2.883114E9</c:v>
                </c:pt>
                <c:pt idx="3">
                  <c:v>5.07337E9</c:v>
                </c:pt>
                <c:pt idx="4">
                  <c:v>6.957608E9</c:v>
                </c:pt>
                <c:pt idx="5">
                  <c:v>8.070262E9</c:v>
                </c:pt>
              </c:numCache>
            </c:numRef>
          </c:xVal>
          <c:yVal>
            <c:numRef>
              <c:f>Prob.1!$G$43:$G$48</c:f>
              <c:numCache>
                <c:formatCode>0.0</c:formatCode>
                <c:ptCount val="6"/>
                <c:pt idx="0">
                  <c:v>5120.607787274454</c:v>
                </c:pt>
                <c:pt idx="1">
                  <c:v>5104.60251046025</c:v>
                </c:pt>
                <c:pt idx="2">
                  <c:v>5063.037249283667</c:v>
                </c:pt>
                <c:pt idx="3">
                  <c:v>5022.984102662325</c:v>
                </c:pt>
                <c:pt idx="4">
                  <c:v>4980.77662437524</c:v>
                </c:pt>
                <c:pt idx="5">
                  <c:v>4957.141481267456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209384"/>
        <c:axId val="2097595240"/>
      </c:scatterChart>
      <c:valAx>
        <c:axId val="2126209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Gp (SCF)</a:t>
                </a:r>
              </a:p>
            </c:rich>
          </c:tx>
          <c:layout>
            <c:manualLayout>
              <c:xMode val="edge"/>
              <c:yMode val="edge"/>
              <c:x val="0.356870229007634"/>
              <c:y val="0.873336176224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097595240"/>
        <c:crosses val="autoZero"/>
        <c:crossBetween val="midCat"/>
      </c:valAx>
      <c:valAx>
        <c:axId val="2097595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P/Z</a:t>
                </a:r>
              </a:p>
            </c:rich>
          </c:tx>
          <c:layout>
            <c:manualLayout>
              <c:xMode val="edge"/>
              <c:yMode val="edge"/>
              <c:x val="0.0305343511450382"/>
              <c:y val="0.44666812066445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26209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7557251908397"/>
          <c:y val="0.380001236983193"/>
          <c:w val="0.267175572519084"/>
          <c:h val="0.2133340277800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9" l="0.787401575" r="0.787401575" t="0.98425196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746655459169"/>
          <c:y val="0.03666678602469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74081402322408"/>
          <c:y val="0.203333995227849"/>
          <c:w val="0.558994725235287"/>
          <c:h val="0.556668478738538"/>
        </c:manualLayout>
      </c:layout>
      <c:scatterChart>
        <c:scatterStyle val="lineMarker"/>
        <c:varyColors val="0"/>
        <c:ser>
          <c:idx val="0"/>
          <c:order val="0"/>
          <c:tx>
            <c:v>Gesto and Gew included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0321755088450554"/>
                  <c:y val="-0.33369031861407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</c:trendlineLbl>
          </c:trendline>
          <c:xVal>
            <c:numRef>
              <c:f>Prob.1!$J$43:$J$48</c:f>
              <c:numCache>
                <c:formatCode>General</c:formatCode>
                <c:ptCount val="6"/>
                <c:pt idx="0">
                  <c:v>0.0</c:v>
                </c:pt>
                <c:pt idx="1">
                  <c:v>6.77671786666667E8</c:v>
                </c:pt>
                <c:pt idx="2">
                  <c:v>2.95215075333333E9</c:v>
                </c:pt>
                <c:pt idx="3">
                  <c:v>5.19911233777778E9</c:v>
                </c:pt>
                <c:pt idx="4">
                  <c:v>7.13215099333333E9</c:v>
                </c:pt>
                <c:pt idx="5">
                  <c:v>8.29614255E9</c:v>
                </c:pt>
              </c:numCache>
            </c:numRef>
          </c:xVal>
          <c:yVal>
            <c:numRef>
              <c:f>Prob.1!$G$43:$G$48</c:f>
              <c:numCache>
                <c:formatCode>0.0</c:formatCode>
                <c:ptCount val="6"/>
                <c:pt idx="0">
                  <c:v>5120.607787274454</c:v>
                </c:pt>
                <c:pt idx="1">
                  <c:v>5104.60251046025</c:v>
                </c:pt>
                <c:pt idx="2">
                  <c:v>5063.037249283667</c:v>
                </c:pt>
                <c:pt idx="3">
                  <c:v>5022.984102662325</c:v>
                </c:pt>
                <c:pt idx="4">
                  <c:v>4980.77662437524</c:v>
                </c:pt>
                <c:pt idx="5">
                  <c:v>4957.141481267456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261560"/>
        <c:axId val="2126267432"/>
      </c:scatterChart>
      <c:valAx>
        <c:axId val="2126261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(Gp)tot (SCF)</a:t>
                </a:r>
              </a:p>
            </c:rich>
          </c:tx>
          <c:layout>
            <c:manualLayout>
              <c:xMode val="edge"/>
              <c:yMode val="edge"/>
              <c:x val="0.371373658287803"/>
              <c:y val="0.863336143672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26267432"/>
        <c:crosses val="autoZero"/>
        <c:crossBetween val="midCat"/>
      </c:valAx>
      <c:valAx>
        <c:axId val="2126267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P/Z</a:t>
                </a:r>
              </a:p>
            </c:rich>
          </c:tx>
          <c:layout>
            <c:manualLayout>
              <c:xMode val="edge"/>
              <c:yMode val="edge"/>
              <c:x val="0.0309478048573169"/>
              <c:y val="0.44000143229632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26261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6654420271719"/>
          <c:y val="0.123333734810335"/>
          <c:w val="0.278530243715852"/>
          <c:h val="0.2500008138047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9" l="0.787401575" r="0.787401575" t="0.98425196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Rel. perm. curves</a:t>
            </a:r>
          </a:p>
        </c:rich>
      </c:tx>
      <c:layout>
        <c:manualLayout>
          <c:xMode val="edge"/>
          <c:yMode val="edge"/>
          <c:x val="0.362398302322333"/>
          <c:y val="0.038461604126154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111952262794"/>
          <c:y val="0.150349907038603"/>
          <c:w val="0.536785455319545"/>
          <c:h val="0.681819345872736"/>
        </c:manualLayout>
      </c:layout>
      <c:scatterChart>
        <c:scatterStyle val="smoothMarker"/>
        <c:varyColors val="0"/>
        <c:ser>
          <c:idx val="0"/>
          <c:order val="0"/>
          <c:tx>
            <c:v>krw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Prob.10.!$B$24:$B$31</c:f>
              <c:numCache>
                <c:formatCode>General</c:formatCode>
                <c:ptCount val="8"/>
                <c:pt idx="0">
                  <c:v>0.15</c:v>
                </c:pt>
                <c:pt idx="1">
                  <c:v>0.25</c:v>
                </c:pt>
                <c:pt idx="2">
                  <c:v>0.35</c:v>
                </c:pt>
                <c:pt idx="3">
                  <c:v>0.45</c:v>
                </c:pt>
                <c:pt idx="4">
                  <c:v>0.55</c:v>
                </c:pt>
                <c:pt idx="5">
                  <c:v>0.65</c:v>
                </c:pt>
                <c:pt idx="6">
                  <c:v>0.75</c:v>
                </c:pt>
                <c:pt idx="7">
                  <c:v>0.8</c:v>
                </c:pt>
              </c:numCache>
            </c:numRef>
          </c:xVal>
          <c:yVal>
            <c:numRef>
              <c:f>Prob.10.!$C$24:$C$31</c:f>
              <c:numCache>
                <c:formatCode>General</c:formatCode>
                <c:ptCount val="8"/>
                <c:pt idx="0">
                  <c:v>0.0</c:v>
                </c:pt>
                <c:pt idx="1">
                  <c:v>0.02</c:v>
                </c:pt>
                <c:pt idx="2">
                  <c:v>0.05</c:v>
                </c:pt>
                <c:pt idx="3">
                  <c:v>0.095</c:v>
                </c:pt>
                <c:pt idx="4">
                  <c:v>0.15</c:v>
                </c:pt>
                <c:pt idx="5">
                  <c:v>0.225</c:v>
                </c:pt>
                <c:pt idx="6">
                  <c:v>0.335</c:v>
                </c:pt>
                <c:pt idx="7">
                  <c:v>0.41</c:v>
                </c:pt>
              </c:numCache>
            </c:numRef>
          </c:yVal>
          <c:smooth val="1"/>
        </c:ser>
        <c:ser>
          <c:idx val="1"/>
          <c:order val="1"/>
          <c:tx>
            <c:v>kro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Prob.10.!$B$24:$B$31</c:f>
              <c:numCache>
                <c:formatCode>General</c:formatCode>
                <c:ptCount val="8"/>
                <c:pt idx="0">
                  <c:v>0.15</c:v>
                </c:pt>
                <c:pt idx="1">
                  <c:v>0.25</c:v>
                </c:pt>
                <c:pt idx="2">
                  <c:v>0.35</c:v>
                </c:pt>
                <c:pt idx="3">
                  <c:v>0.45</c:v>
                </c:pt>
                <c:pt idx="4">
                  <c:v>0.55</c:v>
                </c:pt>
                <c:pt idx="5">
                  <c:v>0.65</c:v>
                </c:pt>
                <c:pt idx="6">
                  <c:v>0.75</c:v>
                </c:pt>
                <c:pt idx="7">
                  <c:v>0.8</c:v>
                </c:pt>
              </c:numCache>
            </c:numRef>
          </c:xVal>
          <c:yVal>
            <c:numRef>
              <c:f>Prob.10.!$D$24:$D$31</c:f>
              <c:numCache>
                <c:formatCode>General</c:formatCode>
                <c:ptCount val="8"/>
                <c:pt idx="0">
                  <c:v>0.92</c:v>
                </c:pt>
                <c:pt idx="1">
                  <c:v>0.725</c:v>
                </c:pt>
                <c:pt idx="2">
                  <c:v>0.47</c:v>
                </c:pt>
                <c:pt idx="3">
                  <c:v>0.29</c:v>
                </c:pt>
                <c:pt idx="4">
                  <c:v>0.15</c:v>
                </c:pt>
                <c:pt idx="5">
                  <c:v>0.06</c:v>
                </c:pt>
                <c:pt idx="6">
                  <c:v>0.015</c:v>
                </c:pt>
                <c:pt idx="7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434920"/>
        <c:axId val="2098427192"/>
      </c:scatterChart>
      <c:valAx>
        <c:axId val="209843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Sw</a:t>
                </a:r>
              </a:p>
            </c:rich>
          </c:tx>
          <c:layout>
            <c:manualLayout>
              <c:xMode val="edge"/>
              <c:yMode val="edge"/>
              <c:x val="0.416894287633962"/>
              <c:y val="0.912588970629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098427192"/>
        <c:crosses val="autoZero"/>
        <c:crossBetween val="midCat"/>
        <c:majorUnit val="0.2"/>
      </c:valAx>
      <c:valAx>
        <c:axId val="2098427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krw, kro</a:t>
                </a:r>
              </a:p>
            </c:rich>
          </c:tx>
          <c:layout>
            <c:manualLayout>
              <c:xMode val="edge"/>
              <c:yMode val="edge"/>
              <c:x val="0.0517711860460475"/>
              <c:y val="0.402098588591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098434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889378205597"/>
          <c:y val="0.419581135921684"/>
          <c:w val="0.155313558138143"/>
          <c:h val="0.1363638691745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9" l="0.787401575" r="0.787401575" t="0.98425196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293987960632"/>
          <c:y val="0.03459130119675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69192336431543"/>
          <c:y val="0.15723318725797"/>
          <c:w val="0.590910548134046"/>
          <c:h val="0.616354094051242"/>
        </c:manualLayout>
      </c:layout>
      <c:scatterChart>
        <c:scatterStyle val="smoothMarker"/>
        <c:varyColors val="0"/>
        <c:ser>
          <c:idx val="0"/>
          <c:order val="0"/>
          <c:tx>
            <c:v>fw vs. Sw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Prob.10.!$B$24:$B$31</c:f>
              <c:numCache>
                <c:formatCode>General</c:formatCode>
                <c:ptCount val="8"/>
                <c:pt idx="0">
                  <c:v>0.15</c:v>
                </c:pt>
                <c:pt idx="1">
                  <c:v>0.25</c:v>
                </c:pt>
                <c:pt idx="2">
                  <c:v>0.35</c:v>
                </c:pt>
                <c:pt idx="3">
                  <c:v>0.45</c:v>
                </c:pt>
                <c:pt idx="4">
                  <c:v>0.55</c:v>
                </c:pt>
                <c:pt idx="5">
                  <c:v>0.65</c:v>
                </c:pt>
                <c:pt idx="6">
                  <c:v>0.75</c:v>
                </c:pt>
                <c:pt idx="7">
                  <c:v>0.8</c:v>
                </c:pt>
              </c:numCache>
            </c:numRef>
          </c:xVal>
          <c:yVal>
            <c:numRef>
              <c:f>Prob.10.!$E$24:$E$31</c:f>
              <c:numCache>
                <c:formatCode>0.000</c:formatCode>
                <c:ptCount val="8"/>
                <c:pt idx="0" formatCode="General">
                  <c:v>0.0</c:v>
                </c:pt>
                <c:pt idx="1">
                  <c:v>0.116930572472594</c:v>
                </c:pt>
                <c:pt idx="2">
                  <c:v>0.338028169014085</c:v>
                </c:pt>
                <c:pt idx="3">
                  <c:v>0.611260053619303</c:v>
                </c:pt>
                <c:pt idx="4">
                  <c:v>0.827586206896552</c:v>
                </c:pt>
                <c:pt idx="5">
                  <c:v>0.947368421052631</c:v>
                </c:pt>
                <c:pt idx="6">
                  <c:v>0.990757855822551</c:v>
                </c:pt>
                <c:pt idx="7">
                  <c:v>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139880"/>
        <c:axId val="2127148008"/>
      </c:scatterChart>
      <c:valAx>
        <c:axId val="2127139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Sw</a:t>
                </a:r>
              </a:p>
            </c:rich>
          </c:tx>
          <c:layout>
            <c:manualLayout>
              <c:xMode val="edge"/>
              <c:yMode val="edge"/>
              <c:x val="0.43939502297147"/>
              <c:y val="0.8584932024285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27148008"/>
        <c:crosses val="autoZero"/>
        <c:crossBetween val="midCat"/>
      </c:valAx>
      <c:valAx>
        <c:axId val="2127148008"/>
        <c:scaling>
          <c:orientation val="minMax"/>
          <c:max val="1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fw</a:t>
                </a:r>
              </a:p>
            </c:rich>
          </c:tx>
          <c:layout>
            <c:manualLayout>
              <c:xMode val="edge"/>
              <c:yMode val="edge"/>
              <c:x val="0.0530304338069016"/>
              <c:y val="0.437108260577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27139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02884565589"/>
          <c:y val="0.47169956177391"/>
          <c:w val="0.227273287743864"/>
          <c:h val="0.0628932749031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9" l="0.787401575" r="0.787401575" t="0.98425196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550692478919"/>
          <c:y val="0.048507551064655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891120124351"/>
          <c:y val="0.212686954668105"/>
          <c:w val="0.641834708870641"/>
          <c:h val="0.522389011465521"/>
        </c:manualLayout>
      </c:layout>
      <c:scatterChart>
        <c:scatterStyle val="smoothMarker"/>
        <c:varyColors val="0"/>
        <c:ser>
          <c:idx val="0"/>
          <c:order val="0"/>
          <c:tx>
            <c:v>Sw vs. length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Prob.10.!$D$101:$D$104</c:f>
              <c:numCache>
                <c:formatCode>0</c:formatCode>
                <c:ptCount val="4"/>
                <c:pt idx="0" formatCode="General">
                  <c:v>0.0</c:v>
                </c:pt>
                <c:pt idx="1">
                  <c:v>791.0931778513928</c:v>
                </c:pt>
                <c:pt idx="2">
                  <c:v>1712.816008584456</c:v>
                </c:pt>
                <c:pt idx="3" formatCode="General">
                  <c:v>2200.0</c:v>
                </c:pt>
              </c:numCache>
            </c:numRef>
          </c:xVal>
          <c:yVal>
            <c:numRef>
              <c:f>Prob.10.!$B$101:$B$104</c:f>
              <c:numCache>
                <c:formatCode>General</c:formatCode>
                <c:ptCount val="4"/>
                <c:pt idx="0">
                  <c:v>0.8</c:v>
                </c:pt>
                <c:pt idx="1">
                  <c:v>0.65</c:v>
                </c:pt>
                <c:pt idx="2">
                  <c:v>0.55</c:v>
                </c:pt>
                <c:pt idx="3">
                  <c:v>0.512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480392"/>
        <c:axId val="2126488344"/>
      </c:scatterChart>
      <c:valAx>
        <c:axId val="2126480392"/>
        <c:scaling>
          <c:orientation val="minMax"/>
          <c:max val="220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Distance (ft)</a:t>
                </a:r>
              </a:p>
            </c:rich>
          </c:tx>
          <c:layout>
            <c:manualLayout>
              <c:xMode val="edge"/>
              <c:yMode val="edge"/>
              <c:x val="0.406877360087639"/>
              <c:y val="0.8470164685905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26488344"/>
        <c:crosses val="autoZero"/>
        <c:crossBetween val="midCat"/>
        <c:majorUnit val="500.0"/>
      </c:valAx>
      <c:valAx>
        <c:axId val="2126488344"/>
        <c:scaling>
          <c:orientation val="minMax"/>
          <c:min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Sw</a:t>
                </a:r>
              </a:p>
            </c:rich>
          </c:tx>
          <c:layout>
            <c:manualLayout>
              <c:xMode val="edge"/>
              <c:yMode val="edge"/>
              <c:x val="0.042980002826159"/>
              <c:y val="0.432836609500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264803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4757377044593"/>
          <c:y val="0.0783583517198281"/>
          <c:w val="0.300860019783113"/>
          <c:h val="0.07462700163793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9" l="0.787401575" r="0.787401575" t="0.98425196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4" Type="http://schemas.openxmlformats.org/officeDocument/2006/relationships/image" Target="../media/image7.wmf"/><Relationship Id="rId5" Type="http://schemas.openxmlformats.org/officeDocument/2006/relationships/image" Target="../media/image8.wmf"/><Relationship Id="rId6" Type="http://schemas.openxmlformats.org/officeDocument/2006/relationships/image" Target="../media/image9.wmf"/><Relationship Id="rId7" Type="http://schemas.openxmlformats.org/officeDocument/2006/relationships/image" Target="../media/image10.wmf"/><Relationship Id="rId8" Type="http://schemas.openxmlformats.org/officeDocument/2006/relationships/image" Target="../media/image11.emf"/><Relationship Id="rId1" Type="http://schemas.openxmlformats.org/officeDocument/2006/relationships/image" Target="../media/image4.wmf"/><Relationship Id="rId2" Type="http://schemas.openxmlformats.org/officeDocument/2006/relationships/image" Target="../media/image5.w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wmf"/><Relationship Id="rId4" Type="http://schemas.openxmlformats.org/officeDocument/2006/relationships/image" Target="../media/image15.wmf"/><Relationship Id="rId5" Type="http://schemas.openxmlformats.org/officeDocument/2006/relationships/image" Target="../media/image16.wmf"/><Relationship Id="rId1" Type="http://schemas.openxmlformats.org/officeDocument/2006/relationships/image" Target="../media/image12.wmf"/><Relationship Id="rId2" Type="http://schemas.openxmlformats.org/officeDocument/2006/relationships/image" Target="../media/image13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wmf"/><Relationship Id="rId4" Type="http://schemas.openxmlformats.org/officeDocument/2006/relationships/image" Target="../media/image15.wmf"/><Relationship Id="rId5" Type="http://schemas.openxmlformats.org/officeDocument/2006/relationships/image" Target="../media/image17.wmf"/><Relationship Id="rId6" Type="http://schemas.openxmlformats.org/officeDocument/2006/relationships/image" Target="../media/image18.wmf"/><Relationship Id="rId7" Type="http://schemas.openxmlformats.org/officeDocument/2006/relationships/image" Target="../media/image19.wmf"/><Relationship Id="rId8" Type="http://schemas.openxmlformats.org/officeDocument/2006/relationships/image" Target="../media/image20.wmf"/><Relationship Id="rId9" Type="http://schemas.openxmlformats.org/officeDocument/2006/relationships/image" Target="../media/image21.emf"/><Relationship Id="rId10" Type="http://schemas.openxmlformats.org/officeDocument/2006/relationships/image" Target="../media/image22.wmf"/><Relationship Id="rId1" Type="http://schemas.openxmlformats.org/officeDocument/2006/relationships/image" Target="../media/image12.wmf"/><Relationship Id="rId2" Type="http://schemas.openxmlformats.org/officeDocument/2006/relationships/image" Target="../media/image13.w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5.wmf"/><Relationship Id="rId4" Type="http://schemas.openxmlformats.org/officeDocument/2006/relationships/image" Target="../media/image26.wmf"/><Relationship Id="rId5" Type="http://schemas.openxmlformats.org/officeDocument/2006/relationships/image" Target="../media/image27.wmf"/><Relationship Id="rId6" Type="http://schemas.openxmlformats.org/officeDocument/2006/relationships/image" Target="../media/image28.wmf"/><Relationship Id="rId7" Type="http://schemas.openxmlformats.org/officeDocument/2006/relationships/image" Target="../media/image29.wmf"/><Relationship Id="rId8" Type="http://schemas.openxmlformats.org/officeDocument/2006/relationships/image" Target="../media/image30.wmf"/><Relationship Id="rId9" Type="http://schemas.openxmlformats.org/officeDocument/2006/relationships/image" Target="../media/image31.wmf"/><Relationship Id="rId10" Type="http://schemas.openxmlformats.org/officeDocument/2006/relationships/image" Target="../media/image32.wmf"/><Relationship Id="rId1" Type="http://schemas.openxmlformats.org/officeDocument/2006/relationships/image" Target="../media/image23.wmf"/><Relationship Id="rId2" Type="http://schemas.openxmlformats.org/officeDocument/2006/relationships/image" Target="../media/image24.wmf"/></Relationships>
</file>

<file path=xl/drawings/_rels/vmlDrawing6.vml.rels><?xml version="1.0" encoding="UTF-8" standalone="yes"?>
<Relationships xmlns="http://schemas.openxmlformats.org/package/2006/relationships"><Relationship Id="rId11" Type="http://schemas.openxmlformats.org/officeDocument/2006/relationships/image" Target="../media/image43.wmf"/><Relationship Id="rId12" Type="http://schemas.openxmlformats.org/officeDocument/2006/relationships/image" Target="../media/image44.wmf"/><Relationship Id="rId13" Type="http://schemas.openxmlformats.org/officeDocument/2006/relationships/image" Target="../media/image45.wmf"/><Relationship Id="rId1" Type="http://schemas.openxmlformats.org/officeDocument/2006/relationships/image" Target="../media/image33.wmf"/><Relationship Id="rId2" Type="http://schemas.openxmlformats.org/officeDocument/2006/relationships/image" Target="../media/image34.wmf"/><Relationship Id="rId3" Type="http://schemas.openxmlformats.org/officeDocument/2006/relationships/image" Target="../media/image35.wmf"/><Relationship Id="rId4" Type="http://schemas.openxmlformats.org/officeDocument/2006/relationships/image" Target="../media/image36.wmf"/><Relationship Id="rId5" Type="http://schemas.openxmlformats.org/officeDocument/2006/relationships/image" Target="../media/image37.wmf"/><Relationship Id="rId6" Type="http://schemas.openxmlformats.org/officeDocument/2006/relationships/image" Target="../media/image38.wmf"/><Relationship Id="rId7" Type="http://schemas.openxmlformats.org/officeDocument/2006/relationships/image" Target="../media/image39.wmf"/><Relationship Id="rId8" Type="http://schemas.openxmlformats.org/officeDocument/2006/relationships/image" Target="../media/image40.wmf"/><Relationship Id="rId9" Type="http://schemas.openxmlformats.org/officeDocument/2006/relationships/image" Target="../media/image41.wmf"/><Relationship Id="rId10" Type="http://schemas.openxmlformats.org/officeDocument/2006/relationships/image" Target="../media/image4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49</xdr:row>
      <xdr:rowOff>38100</xdr:rowOff>
    </xdr:from>
    <xdr:to>
      <xdr:col>7</xdr:col>
      <xdr:colOff>28575</xdr:colOff>
      <xdr:row>66</xdr:row>
      <xdr:rowOff>142875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85</xdr:row>
      <xdr:rowOff>28575</xdr:rowOff>
    </xdr:from>
    <xdr:to>
      <xdr:col>7</xdr:col>
      <xdr:colOff>28575</xdr:colOff>
      <xdr:row>102</xdr:row>
      <xdr:rowOff>133350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</xdr:row>
          <xdr:rowOff>0</xdr:rowOff>
        </xdr:from>
        <xdr:to>
          <xdr:col>2</xdr:col>
          <xdr:colOff>406400</xdr:colOff>
          <xdr:row>11</xdr:row>
          <xdr:rowOff>50800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76</xdr:row>
          <xdr:rowOff>0</xdr:rowOff>
        </xdr:from>
        <xdr:to>
          <xdr:col>2</xdr:col>
          <xdr:colOff>482600</xdr:colOff>
          <xdr:row>78</xdr:row>
          <xdr:rowOff>127000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161925</xdr:colOff>
      <xdr:row>22</xdr:row>
      <xdr:rowOff>209550</xdr:rowOff>
    </xdr:from>
    <xdr:to>
      <xdr:col>4</xdr:col>
      <xdr:colOff>38100</xdr:colOff>
      <xdr:row>32</xdr:row>
      <xdr:rowOff>81763</xdr:rowOff>
    </xdr:to>
    <xdr:pic>
      <xdr:nvPicPr>
        <xdr:cNvPr id="8" name="Bild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552950"/>
          <a:ext cx="3133725" cy="2158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</xdr:row>
          <xdr:rowOff>0</xdr:rowOff>
        </xdr:from>
        <xdr:to>
          <xdr:col>4</xdr:col>
          <xdr:colOff>304800</xdr:colOff>
          <xdr:row>43</xdr:row>
          <xdr:rowOff>127000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46</xdr:row>
          <xdr:rowOff>0</xdr:rowOff>
        </xdr:from>
        <xdr:to>
          <xdr:col>3</xdr:col>
          <xdr:colOff>177800</xdr:colOff>
          <xdr:row>48</xdr:row>
          <xdr:rowOff>139700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46</xdr:row>
          <xdr:rowOff>0</xdr:rowOff>
        </xdr:from>
        <xdr:to>
          <xdr:col>1</xdr:col>
          <xdr:colOff>114300</xdr:colOff>
          <xdr:row>47</xdr:row>
          <xdr:rowOff>63500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25400</xdr:colOff>
          <xdr:row>40</xdr:row>
          <xdr:rowOff>76200</xdr:rowOff>
        </xdr:from>
        <xdr:to>
          <xdr:col>9</xdr:col>
          <xdr:colOff>228600</xdr:colOff>
          <xdr:row>42</xdr:row>
          <xdr:rowOff>101600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45</xdr:row>
          <xdr:rowOff>0</xdr:rowOff>
        </xdr:from>
        <xdr:to>
          <xdr:col>10</xdr:col>
          <xdr:colOff>12700</xdr:colOff>
          <xdr:row>47</xdr:row>
          <xdr:rowOff>50800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127000</xdr:rowOff>
        </xdr:from>
        <xdr:to>
          <xdr:col>10</xdr:col>
          <xdr:colOff>88900</xdr:colOff>
          <xdr:row>50</xdr:row>
          <xdr:rowOff>50800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51</xdr:row>
          <xdr:rowOff>63500</xdr:rowOff>
        </xdr:from>
        <xdr:to>
          <xdr:col>10</xdr:col>
          <xdr:colOff>215900</xdr:colOff>
          <xdr:row>52</xdr:row>
          <xdr:rowOff>139700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749300</xdr:colOff>
          <xdr:row>63</xdr:row>
          <xdr:rowOff>177800</xdr:rowOff>
        </xdr:from>
        <xdr:to>
          <xdr:col>10</xdr:col>
          <xdr:colOff>330200</xdr:colOff>
          <xdr:row>67</xdr:row>
          <xdr:rowOff>63500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749300</xdr:colOff>
          <xdr:row>60</xdr:row>
          <xdr:rowOff>139700</xdr:rowOff>
        </xdr:from>
        <xdr:to>
          <xdr:col>3</xdr:col>
          <xdr:colOff>254000</xdr:colOff>
          <xdr:row>63</xdr:row>
          <xdr:rowOff>25400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63</xdr:row>
          <xdr:rowOff>101600</xdr:rowOff>
        </xdr:from>
        <xdr:to>
          <xdr:col>2</xdr:col>
          <xdr:colOff>749300</xdr:colOff>
          <xdr:row>65</xdr:row>
          <xdr:rowOff>177800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66</xdr:row>
          <xdr:rowOff>101600</xdr:rowOff>
        </xdr:from>
        <xdr:to>
          <xdr:col>2</xdr:col>
          <xdr:colOff>635000</xdr:colOff>
          <xdr:row>68</xdr:row>
          <xdr:rowOff>190500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70</xdr:row>
          <xdr:rowOff>0</xdr:rowOff>
        </xdr:from>
        <xdr:to>
          <xdr:col>2</xdr:col>
          <xdr:colOff>457200</xdr:colOff>
          <xdr:row>72</xdr:row>
          <xdr:rowOff>127000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116</xdr:row>
          <xdr:rowOff>0</xdr:rowOff>
        </xdr:from>
        <xdr:to>
          <xdr:col>2</xdr:col>
          <xdr:colOff>533400</xdr:colOff>
          <xdr:row>118</xdr:row>
          <xdr:rowOff>63500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749300</xdr:colOff>
          <xdr:row>22</xdr:row>
          <xdr:rowOff>63500</xdr:rowOff>
        </xdr:from>
        <xdr:to>
          <xdr:col>3</xdr:col>
          <xdr:colOff>254000</xdr:colOff>
          <xdr:row>24</xdr:row>
          <xdr:rowOff>101600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25</xdr:row>
          <xdr:rowOff>101600</xdr:rowOff>
        </xdr:from>
        <xdr:to>
          <xdr:col>2</xdr:col>
          <xdr:colOff>749300</xdr:colOff>
          <xdr:row>27</xdr:row>
          <xdr:rowOff>177800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28</xdr:row>
          <xdr:rowOff>101600</xdr:rowOff>
        </xdr:from>
        <xdr:to>
          <xdr:col>2</xdr:col>
          <xdr:colOff>635000</xdr:colOff>
          <xdr:row>30</xdr:row>
          <xdr:rowOff>190500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32</xdr:row>
          <xdr:rowOff>0</xdr:rowOff>
        </xdr:from>
        <xdr:to>
          <xdr:col>2</xdr:col>
          <xdr:colOff>457200</xdr:colOff>
          <xdr:row>34</xdr:row>
          <xdr:rowOff>127000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152400</xdr:rowOff>
        </xdr:from>
        <xdr:to>
          <xdr:col>2</xdr:col>
          <xdr:colOff>635000</xdr:colOff>
          <xdr:row>40</xdr:row>
          <xdr:rowOff>76200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94</xdr:row>
          <xdr:rowOff>0</xdr:rowOff>
        </xdr:from>
        <xdr:to>
          <xdr:col>2</xdr:col>
          <xdr:colOff>520700</xdr:colOff>
          <xdr:row>95</xdr:row>
          <xdr:rowOff>76200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98</xdr:row>
          <xdr:rowOff>0</xdr:rowOff>
        </xdr:from>
        <xdr:to>
          <xdr:col>2</xdr:col>
          <xdr:colOff>673100</xdr:colOff>
          <xdr:row>100</xdr:row>
          <xdr:rowOff>127000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100</xdr:row>
          <xdr:rowOff>0</xdr:rowOff>
        </xdr:from>
        <xdr:to>
          <xdr:col>2</xdr:col>
          <xdr:colOff>127000</xdr:colOff>
          <xdr:row>101</xdr:row>
          <xdr:rowOff>76200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736600</xdr:colOff>
          <xdr:row>101</xdr:row>
          <xdr:rowOff>177800</xdr:rowOff>
        </xdr:from>
        <xdr:to>
          <xdr:col>4</xdr:col>
          <xdr:colOff>558800</xdr:colOff>
          <xdr:row>103</xdr:row>
          <xdr:rowOff>50800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104</xdr:row>
          <xdr:rowOff>0</xdr:rowOff>
        </xdr:from>
        <xdr:to>
          <xdr:col>2</xdr:col>
          <xdr:colOff>533400</xdr:colOff>
          <xdr:row>105</xdr:row>
          <xdr:rowOff>76200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25</xdr:row>
          <xdr:rowOff>0</xdr:rowOff>
        </xdr:from>
        <xdr:to>
          <xdr:col>3</xdr:col>
          <xdr:colOff>304800</xdr:colOff>
          <xdr:row>29</xdr:row>
          <xdr:rowOff>12700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55</xdr:row>
          <xdr:rowOff>0</xdr:rowOff>
        </xdr:from>
        <xdr:to>
          <xdr:col>2</xdr:col>
          <xdr:colOff>330200</xdr:colOff>
          <xdr:row>58</xdr:row>
          <xdr:rowOff>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65</xdr:row>
          <xdr:rowOff>0</xdr:rowOff>
        </xdr:from>
        <xdr:to>
          <xdr:col>3</xdr:col>
          <xdr:colOff>25400</xdr:colOff>
          <xdr:row>69</xdr:row>
          <xdr:rowOff>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749300</xdr:colOff>
          <xdr:row>72</xdr:row>
          <xdr:rowOff>152400</xdr:rowOff>
        </xdr:from>
        <xdr:to>
          <xdr:col>3</xdr:col>
          <xdr:colOff>228600</xdr:colOff>
          <xdr:row>76</xdr:row>
          <xdr:rowOff>152400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</xdr:row>
          <xdr:rowOff>0</xdr:rowOff>
        </xdr:from>
        <xdr:to>
          <xdr:col>5</xdr:col>
          <xdr:colOff>393700</xdr:colOff>
          <xdr:row>83</xdr:row>
          <xdr:rowOff>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84</xdr:row>
          <xdr:rowOff>0</xdr:rowOff>
        </xdr:from>
        <xdr:to>
          <xdr:col>5</xdr:col>
          <xdr:colOff>165100</xdr:colOff>
          <xdr:row>87</xdr:row>
          <xdr:rowOff>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723900</xdr:colOff>
          <xdr:row>88</xdr:row>
          <xdr:rowOff>152400</xdr:rowOff>
        </xdr:from>
        <xdr:to>
          <xdr:col>5</xdr:col>
          <xdr:colOff>190500</xdr:colOff>
          <xdr:row>91</xdr:row>
          <xdr:rowOff>152400</xdr:rowOff>
        </xdr:to>
        <xdr:sp macro="" textlink="">
          <xdr:nvSpPr>
            <xdr:cNvPr id="7175" name="Object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93</xdr:row>
          <xdr:rowOff>0</xdr:rowOff>
        </xdr:from>
        <xdr:to>
          <xdr:col>5</xdr:col>
          <xdr:colOff>127000</xdr:colOff>
          <xdr:row>96</xdr:row>
          <xdr:rowOff>25400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98</xdr:row>
          <xdr:rowOff>0</xdr:rowOff>
        </xdr:from>
        <xdr:to>
          <xdr:col>5</xdr:col>
          <xdr:colOff>228600</xdr:colOff>
          <xdr:row>102</xdr:row>
          <xdr:rowOff>38100</xdr:rowOff>
        </xdr:to>
        <xdr:sp macro="" textlink="">
          <xdr:nvSpPr>
            <xdr:cNvPr id="7177" name="Object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107</xdr:row>
          <xdr:rowOff>0</xdr:rowOff>
        </xdr:from>
        <xdr:to>
          <xdr:col>3</xdr:col>
          <xdr:colOff>330200</xdr:colOff>
          <xdr:row>110</xdr:row>
          <xdr:rowOff>0</xdr:rowOff>
        </xdr:to>
        <xdr:sp macro="" textlink="">
          <xdr:nvSpPr>
            <xdr:cNvPr id="7178" name="Object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48</xdr:row>
      <xdr:rowOff>152400</xdr:rowOff>
    </xdr:from>
    <xdr:to>
      <xdr:col>5</xdr:col>
      <xdr:colOff>85725</xdr:colOff>
      <xdr:row>65</xdr:row>
      <xdr:rowOff>123825</xdr:rowOff>
    </xdr:to>
    <xdr:graphicFrame macro="">
      <xdr:nvGraphicFramePr>
        <xdr:cNvPr id="92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48</xdr:row>
      <xdr:rowOff>142875</xdr:rowOff>
    </xdr:from>
    <xdr:to>
      <xdr:col>10</xdr:col>
      <xdr:colOff>104775</xdr:colOff>
      <xdr:row>67</xdr:row>
      <xdr:rowOff>95250</xdr:rowOff>
    </xdr:to>
    <xdr:graphicFrame macro="">
      <xdr:nvGraphicFramePr>
        <xdr:cNvPr id="92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323850</xdr:colOff>
      <xdr:row>99</xdr:row>
      <xdr:rowOff>9525</xdr:rowOff>
    </xdr:from>
    <xdr:to>
      <xdr:col>8</xdr:col>
      <xdr:colOff>600075</xdr:colOff>
      <xdr:row>114</xdr:row>
      <xdr:rowOff>133350</xdr:rowOff>
    </xdr:to>
    <xdr:graphicFrame macro="">
      <xdr:nvGraphicFramePr>
        <xdr:cNvPr id="922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34</xdr:row>
          <xdr:rowOff>0</xdr:rowOff>
        </xdr:from>
        <xdr:to>
          <xdr:col>2</xdr:col>
          <xdr:colOff>381000</xdr:colOff>
          <xdr:row>37</xdr:row>
          <xdr:rowOff>12700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43</xdr:row>
          <xdr:rowOff>114300</xdr:rowOff>
        </xdr:from>
        <xdr:to>
          <xdr:col>2</xdr:col>
          <xdr:colOff>381000</xdr:colOff>
          <xdr:row>47</xdr:row>
          <xdr:rowOff>101600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723900</xdr:colOff>
          <xdr:row>74</xdr:row>
          <xdr:rowOff>76200</xdr:rowOff>
        </xdr:from>
        <xdr:to>
          <xdr:col>2</xdr:col>
          <xdr:colOff>723900</xdr:colOff>
          <xdr:row>77</xdr:row>
          <xdr:rowOff>38100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78</xdr:row>
          <xdr:rowOff>0</xdr:rowOff>
        </xdr:from>
        <xdr:to>
          <xdr:col>4</xdr:col>
          <xdr:colOff>165100</xdr:colOff>
          <xdr:row>82</xdr:row>
          <xdr:rowOff>0</xdr:rowOff>
        </xdr:to>
        <xdr:sp macro="" textlink="">
          <xdr:nvSpPr>
            <xdr:cNvPr id="9223" name="Object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95</xdr:row>
          <xdr:rowOff>0</xdr:rowOff>
        </xdr:from>
        <xdr:to>
          <xdr:col>3</xdr:col>
          <xdr:colOff>152400</xdr:colOff>
          <xdr:row>98</xdr:row>
          <xdr:rowOff>12700</xdr:rowOff>
        </xdr:to>
        <xdr:sp macro="" textlink="">
          <xdr:nvSpPr>
            <xdr:cNvPr id="9224" name="Object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121</xdr:row>
          <xdr:rowOff>0</xdr:rowOff>
        </xdr:from>
        <xdr:to>
          <xdr:col>2</xdr:col>
          <xdr:colOff>215900</xdr:colOff>
          <xdr:row>126</xdr:row>
          <xdr:rowOff>63500</xdr:rowOff>
        </xdr:to>
        <xdr:sp macro="" textlink="">
          <xdr:nvSpPr>
            <xdr:cNvPr id="9226" name="Object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127</xdr:row>
          <xdr:rowOff>25400</xdr:rowOff>
        </xdr:from>
        <xdr:to>
          <xdr:col>2</xdr:col>
          <xdr:colOff>469900</xdr:colOff>
          <xdr:row>131</xdr:row>
          <xdr:rowOff>25400</xdr:rowOff>
        </xdr:to>
        <xdr:sp macro="" textlink="">
          <xdr:nvSpPr>
            <xdr:cNvPr id="9227" name="Object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137</xdr:row>
          <xdr:rowOff>76200</xdr:rowOff>
        </xdr:from>
        <xdr:to>
          <xdr:col>3</xdr:col>
          <xdr:colOff>12700</xdr:colOff>
          <xdr:row>140</xdr:row>
          <xdr:rowOff>38100</xdr:rowOff>
        </xdr:to>
        <xdr:sp macro="" textlink="">
          <xdr:nvSpPr>
            <xdr:cNvPr id="9228" name="Object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12700</xdr:colOff>
          <xdr:row>143</xdr:row>
          <xdr:rowOff>101600</xdr:rowOff>
        </xdr:from>
        <xdr:to>
          <xdr:col>2</xdr:col>
          <xdr:colOff>495300</xdr:colOff>
          <xdr:row>146</xdr:row>
          <xdr:rowOff>63500</xdr:rowOff>
        </xdr:to>
        <xdr:sp macro="" textlink="">
          <xdr:nvSpPr>
            <xdr:cNvPr id="9229" name="Object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749300</xdr:colOff>
          <xdr:row>155</xdr:row>
          <xdr:rowOff>63500</xdr:rowOff>
        </xdr:from>
        <xdr:to>
          <xdr:col>3</xdr:col>
          <xdr:colOff>25400</xdr:colOff>
          <xdr:row>158</xdr:row>
          <xdr:rowOff>25400</xdr:rowOff>
        </xdr:to>
        <xdr:sp macro="" textlink="">
          <xdr:nvSpPr>
            <xdr:cNvPr id="9230" name="Object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12700</xdr:colOff>
          <xdr:row>159</xdr:row>
          <xdr:rowOff>63500</xdr:rowOff>
        </xdr:from>
        <xdr:to>
          <xdr:col>2</xdr:col>
          <xdr:colOff>647700</xdr:colOff>
          <xdr:row>162</xdr:row>
          <xdr:rowOff>25400</xdr:rowOff>
        </xdr:to>
        <xdr:sp macro="" textlink="">
          <xdr:nvSpPr>
            <xdr:cNvPr id="9231" name="Object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749300</xdr:colOff>
          <xdr:row>171</xdr:row>
          <xdr:rowOff>50800</xdr:rowOff>
        </xdr:from>
        <xdr:to>
          <xdr:col>2</xdr:col>
          <xdr:colOff>647700</xdr:colOff>
          <xdr:row>174</xdr:row>
          <xdr:rowOff>12700</xdr:rowOff>
        </xdr:to>
        <xdr:sp macro="" textlink="">
          <xdr:nvSpPr>
            <xdr:cNvPr id="9232" name="Object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185</xdr:row>
          <xdr:rowOff>38100</xdr:rowOff>
        </xdr:from>
        <xdr:to>
          <xdr:col>4</xdr:col>
          <xdr:colOff>25400</xdr:colOff>
          <xdr:row>188</xdr:row>
          <xdr:rowOff>0</xdr:rowOff>
        </xdr:to>
        <xdr:sp macro="" textlink="">
          <xdr:nvSpPr>
            <xdr:cNvPr id="9233" name="Object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Formel1.bin"/><Relationship Id="rId4" Type="http://schemas.openxmlformats.org/officeDocument/2006/relationships/image" Target="../media/image1.wmf"/><Relationship Id="rId5" Type="http://schemas.openxmlformats.org/officeDocument/2006/relationships/oleObject" Target="../embeddings/Microsoft_Formel2.bin"/><Relationship Id="rId6" Type="http://schemas.openxmlformats.org/officeDocument/2006/relationships/image" Target="../media/image2.w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1" Type="http://schemas.openxmlformats.org/officeDocument/2006/relationships/oleObject" Target="../embeddings/Microsoft_Formel7.bin"/><Relationship Id="rId12" Type="http://schemas.openxmlformats.org/officeDocument/2006/relationships/image" Target="../media/image8.wmf"/><Relationship Id="rId13" Type="http://schemas.openxmlformats.org/officeDocument/2006/relationships/oleObject" Target="../embeddings/Microsoft_Formel8.bin"/><Relationship Id="rId14" Type="http://schemas.openxmlformats.org/officeDocument/2006/relationships/image" Target="../media/image9.wmf"/><Relationship Id="rId15" Type="http://schemas.openxmlformats.org/officeDocument/2006/relationships/oleObject" Target="../embeddings/Microsoft_Formel9.bin"/><Relationship Id="rId16" Type="http://schemas.openxmlformats.org/officeDocument/2006/relationships/image" Target="../media/image10.wmf"/><Relationship Id="rId17" Type="http://schemas.openxmlformats.org/officeDocument/2006/relationships/oleObject" Target="../embeddings/Microsoft_Formel10.bin"/><Relationship Id="rId18" Type="http://schemas.openxmlformats.org/officeDocument/2006/relationships/image" Target="../media/image11.emf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oleObject" Target="../embeddings/Microsoft_Formel3.bin"/><Relationship Id="rId4" Type="http://schemas.openxmlformats.org/officeDocument/2006/relationships/image" Target="../media/image4.wmf"/><Relationship Id="rId5" Type="http://schemas.openxmlformats.org/officeDocument/2006/relationships/oleObject" Target="../embeddings/Microsoft_Formel4.bin"/><Relationship Id="rId6" Type="http://schemas.openxmlformats.org/officeDocument/2006/relationships/image" Target="../media/image5.wmf"/><Relationship Id="rId7" Type="http://schemas.openxmlformats.org/officeDocument/2006/relationships/oleObject" Target="../embeddings/Microsoft_Formel5.bin"/><Relationship Id="rId8" Type="http://schemas.openxmlformats.org/officeDocument/2006/relationships/image" Target="../media/image6.wmf"/><Relationship Id="rId9" Type="http://schemas.openxmlformats.org/officeDocument/2006/relationships/oleObject" Target="../embeddings/Microsoft_Formel6.bin"/><Relationship Id="rId10" Type="http://schemas.openxmlformats.org/officeDocument/2006/relationships/image" Target="../media/image7.wmf"/></Relationships>
</file>

<file path=xl/worksheets/_rels/sheet4.xml.rels><?xml version="1.0" encoding="UTF-8" standalone="yes"?>
<Relationships xmlns="http://schemas.openxmlformats.org/package/2006/relationships"><Relationship Id="rId11" Type="http://schemas.openxmlformats.org/officeDocument/2006/relationships/oleObject" Target="../embeddings/Microsoft_Formel15.bin"/><Relationship Id="rId12" Type="http://schemas.openxmlformats.org/officeDocument/2006/relationships/image" Target="../media/image16.wmf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oleObject" Target="../embeddings/Microsoft_Formel11.bin"/><Relationship Id="rId4" Type="http://schemas.openxmlformats.org/officeDocument/2006/relationships/image" Target="../media/image12.wmf"/><Relationship Id="rId5" Type="http://schemas.openxmlformats.org/officeDocument/2006/relationships/oleObject" Target="../embeddings/Microsoft_Formel12.bin"/><Relationship Id="rId6" Type="http://schemas.openxmlformats.org/officeDocument/2006/relationships/image" Target="../media/image13.wmf"/><Relationship Id="rId7" Type="http://schemas.openxmlformats.org/officeDocument/2006/relationships/oleObject" Target="../embeddings/Microsoft_Formel13.bin"/><Relationship Id="rId8" Type="http://schemas.openxmlformats.org/officeDocument/2006/relationships/image" Target="../media/image14.wmf"/><Relationship Id="rId9" Type="http://schemas.openxmlformats.org/officeDocument/2006/relationships/oleObject" Target="../embeddings/Microsoft_Formel14.bin"/><Relationship Id="rId10" Type="http://schemas.openxmlformats.org/officeDocument/2006/relationships/image" Target="../media/image15.wmf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Microsoft_Formel19.bin"/><Relationship Id="rId20" Type="http://schemas.openxmlformats.org/officeDocument/2006/relationships/image" Target="../media/image21.emf"/><Relationship Id="rId21" Type="http://schemas.openxmlformats.org/officeDocument/2006/relationships/oleObject" Target="../embeddings/Microsoft_Formel25.bin"/><Relationship Id="rId22" Type="http://schemas.openxmlformats.org/officeDocument/2006/relationships/image" Target="../media/image22.wmf"/><Relationship Id="rId10" Type="http://schemas.openxmlformats.org/officeDocument/2006/relationships/image" Target="../media/image15.wmf"/><Relationship Id="rId11" Type="http://schemas.openxmlformats.org/officeDocument/2006/relationships/oleObject" Target="../embeddings/Microsoft_Formel20.bin"/><Relationship Id="rId12" Type="http://schemas.openxmlformats.org/officeDocument/2006/relationships/image" Target="../media/image17.wmf"/><Relationship Id="rId13" Type="http://schemas.openxmlformats.org/officeDocument/2006/relationships/oleObject" Target="../embeddings/Microsoft_Formel21.bin"/><Relationship Id="rId14" Type="http://schemas.openxmlformats.org/officeDocument/2006/relationships/image" Target="../media/image18.wmf"/><Relationship Id="rId15" Type="http://schemas.openxmlformats.org/officeDocument/2006/relationships/oleObject" Target="../embeddings/Microsoft_Formel22.bin"/><Relationship Id="rId16" Type="http://schemas.openxmlformats.org/officeDocument/2006/relationships/image" Target="../media/image19.wmf"/><Relationship Id="rId17" Type="http://schemas.openxmlformats.org/officeDocument/2006/relationships/oleObject" Target="../embeddings/Microsoft_Formel23.bin"/><Relationship Id="rId18" Type="http://schemas.openxmlformats.org/officeDocument/2006/relationships/image" Target="../media/image20.wmf"/><Relationship Id="rId19" Type="http://schemas.openxmlformats.org/officeDocument/2006/relationships/oleObject" Target="../embeddings/Microsoft_Formel24.bin"/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oleObject" Target="../embeddings/Microsoft_Formel16.bin"/><Relationship Id="rId4" Type="http://schemas.openxmlformats.org/officeDocument/2006/relationships/image" Target="../media/image12.wmf"/><Relationship Id="rId5" Type="http://schemas.openxmlformats.org/officeDocument/2006/relationships/oleObject" Target="../embeddings/Microsoft_Formel17.bin"/><Relationship Id="rId6" Type="http://schemas.openxmlformats.org/officeDocument/2006/relationships/image" Target="../media/image13.wmf"/><Relationship Id="rId7" Type="http://schemas.openxmlformats.org/officeDocument/2006/relationships/oleObject" Target="../embeddings/Microsoft_Formel18.bin"/><Relationship Id="rId8" Type="http://schemas.openxmlformats.org/officeDocument/2006/relationships/image" Target="../media/image14.wmf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Microsoft_Formel29.bin"/><Relationship Id="rId20" Type="http://schemas.openxmlformats.org/officeDocument/2006/relationships/image" Target="../media/image31.wmf"/><Relationship Id="rId21" Type="http://schemas.openxmlformats.org/officeDocument/2006/relationships/oleObject" Target="../embeddings/Microsoft_Formel35.bin"/><Relationship Id="rId22" Type="http://schemas.openxmlformats.org/officeDocument/2006/relationships/image" Target="../media/image32.wmf"/><Relationship Id="rId10" Type="http://schemas.openxmlformats.org/officeDocument/2006/relationships/image" Target="../media/image26.wmf"/><Relationship Id="rId11" Type="http://schemas.openxmlformats.org/officeDocument/2006/relationships/oleObject" Target="../embeddings/Microsoft_Formel30.bin"/><Relationship Id="rId12" Type="http://schemas.openxmlformats.org/officeDocument/2006/relationships/image" Target="../media/image27.wmf"/><Relationship Id="rId13" Type="http://schemas.openxmlformats.org/officeDocument/2006/relationships/oleObject" Target="../embeddings/Microsoft_Formel31.bin"/><Relationship Id="rId14" Type="http://schemas.openxmlformats.org/officeDocument/2006/relationships/image" Target="../media/image28.wmf"/><Relationship Id="rId15" Type="http://schemas.openxmlformats.org/officeDocument/2006/relationships/oleObject" Target="../embeddings/Microsoft_Formel32.bin"/><Relationship Id="rId16" Type="http://schemas.openxmlformats.org/officeDocument/2006/relationships/image" Target="../media/image29.wmf"/><Relationship Id="rId17" Type="http://schemas.openxmlformats.org/officeDocument/2006/relationships/oleObject" Target="../embeddings/Microsoft_Formel33.bin"/><Relationship Id="rId18" Type="http://schemas.openxmlformats.org/officeDocument/2006/relationships/image" Target="../media/image30.wmf"/><Relationship Id="rId19" Type="http://schemas.openxmlformats.org/officeDocument/2006/relationships/oleObject" Target="../embeddings/Microsoft_Formel34.bin"/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oleObject" Target="../embeddings/Microsoft_Formel26.bin"/><Relationship Id="rId4" Type="http://schemas.openxmlformats.org/officeDocument/2006/relationships/image" Target="../media/image23.wmf"/><Relationship Id="rId5" Type="http://schemas.openxmlformats.org/officeDocument/2006/relationships/oleObject" Target="../embeddings/Microsoft_Formel27.bin"/><Relationship Id="rId6" Type="http://schemas.openxmlformats.org/officeDocument/2006/relationships/image" Target="../media/image24.wmf"/><Relationship Id="rId7" Type="http://schemas.openxmlformats.org/officeDocument/2006/relationships/oleObject" Target="../embeddings/Microsoft_Formel28.bin"/><Relationship Id="rId8" Type="http://schemas.openxmlformats.org/officeDocument/2006/relationships/image" Target="../media/image25.wmf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Microsoft_Formel39.bin"/><Relationship Id="rId20" Type="http://schemas.openxmlformats.org/officeDocument/2006/relationships/image" Target="../media/image41.wmf"/><Relationship Id="rId21" Type="http://schemas.openxmlformats.org/officeDocument/2006/relationships/oleObject" Target="../embeddings/Microsoft_Formel45.bin"/><Relationship Id="rId22" Type="http://schemas.openxmlformats.org/officeDocument/2006/relationships/image" Target="../media/image42.wmf"/><Relationship Id="rId23" Type="http://schemas.openxmlformats.org/officeDocument/2006/relationships/oleObject" Target="../embeddings/Microsoft_Formel46.bin"/><Relationship Id="rId24" Type="http://schemas.openxmlformats.org/officeDocument/2006/relationships/image" Target="../media/image43.wmf"/><Relationship Id="rId25" Type="http://schemas.openxmlformats.org/officeDocument/2006/relationships/oleObject" Target="../embeddings/Microsoft_Formel47.bin"/><Relationship Id="rId26" Type="http://schemas.openxmlformats.org/officeDocument/2006/relationships/image" Target="../media/image44.wmf"/><Relationship Id="rId27" Type="http://schemas.openxmlformats.org/officeDocument/2006/relationships/oleObject" Target="../embeddings/Microsoft_Formel48.bin"/><Relationship Id="rId28" Type="http://schemas.openxmlformats.org/officeDocument/2006/relationships/image" Target="../media/image45.wmf"/><Relationship Id="rId10" Type="http://schemas.openxmlformats.org/officeDocument/2006/relationships/image" Target="../media/image36.wmf"/><Relationship Id="rId11" Type="http://schemas.openxmlformats.org/officeDocument/2006/relationships/oleObject" Target="../embeddings/Microsoft_Formel40.bin"/><Relationship Id="rId12" Type="http://schemas.openxmlformats.org/officeDocument/2006/relationships/image" Target="../media/image37.wmf"/><Relationship Id="rId13" Type="http://schemas.openxmlformats.org/officeDocument/2006/relationships/oleObject" Target="../embeddings/Microsoft_Formel41.bin"/><Relationship Id="rId14" Type="http://schemas.openxmlformats.org/officeDocument/2006/relationships/image" Target="../media/image38.wmf"/><Relationship Id="rId15" Type="http://schemas.openxmlformats.org/officeDocument/2006/relationships/oleObject" Target="../embeddings/Microsoft_Formel42.bin"/><Relationship Id="rId16" Type="http://schemas.openxmlformats.org/officeDocument/2006/relationships/image" Target="../media/image39.wmf"/><Relationship Id="rId17" Type="http://schemas.openxmlformats.org/officeDocument/2006/relationships/oleObject" Target="../embeddings/Microsoft_Formel43.bin"/><Relationship Id="rId18" Type="http://schemas.openxmlformats.org/officeDocument/2006/relationships/image" Target="../media/image40.wmf"/><Relationship Id="rId19" Type="http://schemas.openxmlformats.org/officeDocument/2006/relationships/oleObject" Target="../embeddings/Microsoft_Formel44.bin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Relationship Id="rId3" Type="http://schemas.openxmlformats.org/officeDocument/2006/relationships/oleObject" Target="../embeddings/Microsoft_Formel36.bin"/><Relationship Id="rId4" Type="http://schemas.openxmlformats.org/officeDocument/2006/relationships/image" Target="../media/image33.wmf"/><Relationship Id="rId5" Type="http://schemas.openxmlformats.org/officeDocument/2006/relationships/oleObject" Target="../embeddings/Microsoft_Formel37.bin"/><Relationship Id="rId6" Type="http://schemas.openxmlformats.org/officeDocument/2006/relationships/image" Target="../media/image34.wmf"/><Relationship Id="rId7" Type="http://schemas.openxmlformats.org/officeDocument/2006/relationships/oleObject" Target="../embeddings/Microsoft_Formel38.bin"/><Relationship Id="rId8" Type="http://schemas.openxmlformats.org/officeDocument/2006/relationships/image" Target="../media/image35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108"/>
  <sheetViews>
    <sheetView tabSelected="1" zoomScale="125" zoomScaleNormal="125" zoomScalePageLayoutView="125" workbookViewId="0">
      <selection activeCell="C109" sqref="C109"/>
    </sheetView>
  </sheetViews>
  <sheetFormatPr baseColWidth="10" defaultRowHeight="12" x14ac:dyDescent="0"/>
  <cols>
    <col min="2" max="3" width="13" bestFit="1" customWidth="1"/>
    <col min="5" max="5" width="13" bestFit="1" customWidth="1"/>
    <col min="6" max="6" width="11.1640625" bestFit="1" customWidth="1"/>
    <col min="7" max="7" width="11.5" bestFit="1" customWidth="1"/>
    <col min="8" max="8" width="14.33203125" bestFit="1" customWidth="1"/>
    <col min="11" max="11" width="13" bestFit="1" customWidth="1"/>
  </cols>
  <sheetData>
    <row r="3" spans="1:7" ht="17">
      <c r="A3" s="3" t="s">
        <v>0</v>
      </c>
      <c r="B3" s="3"/>
      <c r="C3" s="3"/>
      <c r="D3" s="3"/>
      <c r="E3" s="3"/>
      <c r="F3" s="4"/>
    </row>
    <row r="5" spans="1:7" ht="17">
      <c r="A5" s="1" t="s">
        <v>16</v>
      </c>
      <c r="G5" s="1" t="s">
        <v>19</v>
      </c>
    </row>
    <row r="6" spans="1:7">
      <c r="A6" t="s">
        <v>373</v>
      </c>
      <c r="G6" t="s">
        <v>20</v>
      </c>
    </row>
    <row r="7" spans="1:7" ht="17">
      <c r="A7" s="1" t="s">
        <v>17</v>
      </c>
      <c r="G7" t="s">
        <v>13</v>
      </c>
    </row>
    <row r="8" spans="1:7">
      <c r="A8" t="s">
        <v>18</v>
      </c>
      <c r="G8" t="s">
        <v>14</v>
      </c>
    </row>
    <row r="9" spans="1:7" ht="17">
      <c r="G9" s="1" t="s">
        <v>15</v>
      </c>
    </row>
    <row r="10" spans="1:7">
      <c r="G10" t="s">
        <v>21</v>
      </c>
    </row>
    <row r="11" spans="1:7">
      <c r="G11" t="s">
        <v>371</v>
      </c>
    </row>
    <row r="12" spans="1:7">
      <c r="G12" t="s">
        <v>370</v>
      </c>
    </row>
    <row r="13" spans="1:7" ht="15">
      <c r="B13" s="5" t="s">
        <v>1</v>
      </c>
      <c r="C13" s="5" t="s">
        <v>2</v>
      </c>
    </row>
    <row r="14" spans="1:7" ht="15">
      <c r="B14" s="5" t="s">
        <v>3</v>
      </c>
      <c r="C14" s="5" t="s">
        <v>4</v>
      </c>
    </row>
    <row r="15" spans="1:7" ht="17">
      <c r="B15" s="5" t="s">
        <v>5</v>
      </c>
      <c r="C15" s="5" t="s">
        <v>6</v>
      </c>
    </row>
    <row r="16" spans="1:7" ht="17">
      <c r="B16" s="5" t="s">
        <v>7</v>
      </c>
      <c r="C16" s="5" t="s">
        <v>8</v>
      </c>
    </row>
    <row r="17" spans="1:3" ht="17">
      <c r="B17" s="5" t="s">
        <v>9</v>
      </c>
      <c r="C17" s="5" t="s">
        <v>10</v>
      </c>
    </row>
    <row r="18" spans="1:3" ht="17">
      <c r="B18" s="5" t="s">
        <v>11</v>
      </c>
      <c r="C18" s="5" t="s">
        <v>12</v>
      </c>
    </row>
    <row r="20" spans="1:3" ht="17">
      <c r="A20" s="2" t="s">
        <v>22</v>
      </c>
    </row>
    <row r="22" spans="1:3" ht="17">
      <c r="A22" s="1" t="s">
        <v>16</v>
      </c>
    </row>
    <row r="23" spans="1:3" ht="17">
      <c r="A23" s="1"/>
    </row>
    <row r="24" spans="1:3" ht="17">
      <c r="A24" s="1"/>
    </row>
    <row r="25" spans="1:3" ht="17">
      <c r="A25" s="1"/>
    </row>
    <row r="26" spans="1:3" ht="17">
      <c r="A26" s="1"/>
    </row>
    <row r="27" spans="1:3" ht="17">
      <c r="A27" s="1"/>
    </row>
    <row r="28" spans="1:3" ht="17">
      <c r="A28" s="1"/>
    </row>
    <row r="29" spans="1:3" ht="17">
      <c r="A29" s="1"/>
    </row>
    <row r="30" spans="1:3" ht="17">
      <c r="A30" s="1"/>
    </row>
    <row r="31" spans="1:3" ht="17">
      <c r="A31" s="1"/>
    </row>
    <row r="32" spans="1:3" ht="17">
      <c r="A32" s="1"/>
    </row>
    <row r="33" spans="1:10" ht="17">
      <c r="A33" s="1"/>
    </row>
    <row r="34" spans="1:10" ht="17">
      <c r="A34" s="1"/>
    </row>
    <row r="36" spans="1:10" ht="17">
      <c r="A36" s="1" t="s">
        <v>17</v>
      </c>
    </row>
    <row r="37" spans="1:10">
      <c r="A37" t="s">
        <v>372</v>
      </c>
    </row>
    <row r="39" spans="1:10" ht="17">
      <c r="A39" s="1" t="s">
        <v>19</v>
      </c>
    </row>
    <row r="40" spans="1:10">
      <c r="A40" t="s">
        <v>23</v>
      </c>
    </row>
    <row r="41" spans="1:10">
      <c r="B41" t="s">
        <v>24</v>
      </c>
      <c r="C41" t="s">
        <v>26</v>
      </c>
      <c r="D41" t="s">
        <v>27</v>
      </c>
      <c r="E41" t="s">
        <v>28</v>
      </c>
      <c r="F41" t="s">
        <v>31</v>
      </c>
      <c r="G41" t="s">
        <v>32</v>
      </c>
      <c r="H41" t="s">
        <v>40</v>
      </c>
      <c r="I41" t="s">
        <v>39</v>
      </c>
      <c r="J41" t="s">
        <v>41</v>
      </c>
    </row>
    <row r="42" spans="1:10">
      <c r="B42" t="s">
        <v>25</v>
      </c>
      <c r="D42" t="s">
        <v>30</v>
      </c>
      <c r="E42" t="s">
        <v>29</v>
      </c>
      <c r="F42" t="s">
        <v>29</v>
      </c>
      <c r="H42" t="s">
        <v>30</v>
      </c>
      <c r="I42" t="s">
        <v>30</v>
      </c>
      <c r="J42" t="s">
        <v>30</v>
      </c>
    </row>
    <row r="43" spans="1:10">
      <c r="B43">
        <v>5392</v>
      </c>
      <c r="C43">
        <v>1.0529999999999999</v>
      </c>
      <c r="D43">
        <v>0</v>
      </c>
      <c r="E43">
        <v>0</v>
      </c>
      <c r="F43">
        <v>0</v>
      </c>
      <c r="G43" s="6">
        <f t="shared" ref="G43:G48" si="0">B43/C43</f>
        <v>5120.6077872744545</v>
      </c>
      <c r="H43">
        <f>133000*(C80/C81)*E43</f>
        <v>0</v>
      </c>
      <c r="I43">
        <v>0</v>
      </c>
      <c r="J43">
        <f t="shared" ref="J43:J48" si="1">D43+H43+I43</f>
        <v>0</v>
      </c>
    </row>
    <row r="44" spans="1:10">
      <c r="B44">
        <v>5368</v>
      </c>
      <c r="C44">
        <v>1.0516000000000001</v>
      </c>
      <c r="D44">
        <v>661272000</v>
      </c>
      <c r="E44">
        <v>12314</v>
      </c>
      <c r="F44">
        <v>3</v>
      </c>
      <c r="G44" s="6">
        <f t="shared" si="0"/>
        <v>5104.6025104602504</v>
      </c>
      <c r="H44">
        <f>E80*(C80/C81)*E44</f>
        <v>16377620</v>
      </c>
      <c r="I44">
        <f>E80*(C82/C83)*F44</f>
        <v>22166.666666666664</v>
      </c>
      <c r="J44">
        <f>D44+H44+I44</f>
        <v>677671786.66666663</v>
      </c>
    </row>
    <row r="45" spans="1:10">
      <c r="B45">
        <v>5301</v>
      </c>
      <c r="C45">
        <v>1.0469999999999999</v>
      </c>
      <c r="D45">
        <v>2883114000</v>
      </c>
      <c r="E45">
        <v>47674</v>
      </c>
      <c r="F45">
        <v>762</v>
      </c>
      <c r="G45" s="6">
        <f t="shared" si="0"/>
        <v>5063.0372492836677</v>
      </c>
      <c r="H45">
        <f>E80*(C80/C81)*E45</f>
        <v>63406420</v>
      </c>
      <c r="I45">
        <f>E80*(C82/C83)*F45</f>
        <v>5630333.333333333</v>
      </c>
      <c r="J45">
        <f t="shared" si="1"/>
        <v>2952150753.3333335</v>
      </c>
    </row>
    <row r="46" spans="1:10">
      <c r="B46">
        <v>5245</v>
      </c>
      <c r="C46">
        <v>1.0442</v>
      </c>
      <c r="D46">
        <v>5073370000</v>
      </c>
      <c r="E46">
        <v>83132</v>
      </c>
      <c r="F46">
        <v>2054</v>
      </c>
      <c r="G46" s="6">
        <f t="shared" si="0"/>
        <v>5022.9841026623253</v>
      </c>
      <c r="H46">
        <f>E80*(C80/C81)*E46</f>
        <v>110565560</v>
      </c>
      <c r="I46">
        <f>E80*(C82/C83)*F46</f>
        <v>15176777.777777778</v>
      </c>
      <c r="J46">
        <f t="shared" si="1"/>
        <v>5199112337.7777777</v>
      </c>
    </row>
    <row r="47" spans="1:10">
      <c r="B47">
        <v>5182</v>
      </c>
      <c r="C47">
        <v>1.0404</v>
      </c>
      <c r="D47">
        <v>6957608000</v>
      </c>
      <c r="E47">
        <v>112902</v>
      </c>
      <c r="F47">
        <v>3300</v>
      </c>
      <c r="G47" s="6">
        <f t="shared" si="0"/>
        <v>4980.7766243752403</v>
      </c>
      <c r="H47">
        <f>E80*(C80/C81)*E47</f>
        <v>150159660</v>
      </c>
      <c r="I47">
        <f>E80*(C82/C83)*F47</f>
        <v>24383333.333333332</v>
      </c>
      <c r="J47">
        <f t="shared" si="1"/>
        <v>7132150993.333333</v>
      </c>
    </row>
    <row r="48" spans="1:10">
      <c r="B48">
        <v>5147</v>
      </c>
      <c r="C48">
        <v>1.0383</v>
      </c>
      <c r="D48">
        <v>8070262000</v>
      </c>
      <c r="E48">
        <v>144035</v>
      </c>
      <c r="F48">
        <v>4644</v>
      </c>
      <c r="G48" s="6">
        <f t="shared" si="0"/>
        <v>4957.1414812674566</v>
      </c>
      <c r="H48">
        <f>E80*(C80/C81)*E48</f>
        <v>191566550</v>
      </c>
      <c r="I48">
        <f>E80*(C82/C83)*F48</f>
        <v>34314000</v>
      </c>
      <c r="J48">
        <f t="shared" si="1"/>
        <v>8296142550</v>
      </c>
    </row>
    <row r="55" spans="10:11">
      <c r="J55" t="s">
        <v>401</v>
      </c>
      <c r="K55" t="s">
        <v>402</v>
      </c>
    </row>
    <row r="69" spans="1:8">
      <c r="B69" t="s">
        <v>42</v>
      </c>
      <c r="C69">
        <f>LINEST(G43:G48,D43:D48)</f>
        <v>-1.9948696437038879E-8</v>
      </c>
      <c r="E69" t="s">
        <v>43</v>
      </c>
      <c r="F69" s="9"/>
      <c r="G69" s="9"/>
      <c r="H69" s="65">
        <f>C69</f>
        <v>-1.9948696437038879E-8</v>
      </c>
    </row>
    <row r="70" spans="1:8">
      <c r="B70" t="s">
        <v>44</v>
      </c>
      <c r="C70">
        <v>5120.1000000000004</v>
      </c>
    </row>
    <row r="71" spans="1:8">
      <c r="C71" s="9"/>
      <c r="D71" s="9"/>
      <c r="E71" s="9"/>
      <c r="F71" s="9"/>
    </row>
    <row r="72" spans="1:8">
      <c r="B72" s="7" t="s">
        <v>45</v>
      </c>
      <c r="C72" s="7">
        <f>(-C70)/C69</f>
        <v>256663387312.54019</v>
      </c>
      <c r="D72" s="7"/>
      <c r="E72" s="7" t="s">
        <v>46</v>
      </c>
      <c r="F72" s="7">
        <f>C72*0.0283</f>
        <v>7263573860.9448872</v>
      </c>
    </row>
    <row r="74" spans="1:8" ht="17">
      <c r="A74" s="1" t="s">
        <v>33</v>
      </c>
    </row>
    <row r="75" spans="1:8" ht="15">
      <c r="B75" s="5" t="s">
        <v>374</v>
      </c>
    </row>
    <row r="76" spans="1:8" ht="15">
      <c r="B76" s="5"/>
    </row>
    <row r="78" spans="1:8">
      <c r="D78" t="s">
        <v>34</v>
      </c>
    </row>
    <row r="80" spans="1:8">
      <c r="B80" s="8" t="s">
        <v>35</v>
      </c>
      <c r="C80">
        <v>0.72</v>
      </c>
      <c r="E80">
        <v>133000</v>
      </c>
    </row>
    <row r="81" spans="2:3">
      <c r="B81" t="s">
        <v>36</v>
      </c>
      <c r="C81">
        <v>72</v>
      </c>
    </row>
    <row r="82" spans="2:3">
      <c r="B82" s="8" t="s">
        <v>38</v>
      </c>
      <c r="C82">
        <v>1</v>
      </c>
    </row>
    <row r="83" spans="2:3">
      <c r="B83" t="s">
        <v>37</v>
      </c>
      <c r="C83">
        <v>18</v>
      </c>
    </row>
    <row r="105" spans="2:7">
      <c r="B105" t="s">
        <v>42</v>
      </c>
      <c r="C105">
        <f>LINEST(G43:G48,J43:J48)</f>
        <v>-1.942708072947902E-8</v>
      </c>
    </row>
    <row r="106" spans="2:7">
      <c r="B106" t="s">
        <v>47</v>
      </c>
      <c r="C106">
        <v>5120.1000000000004</v>
      </c>
    </row>
    <row r="108" spans="2:7">
      <c r="B108" s="7" t="s">
        <v>48</v>
      </c>
      <c r="C108" s="7">
        <f>(-C106)/C105</f>
        <v>263554780633.13257</v>
      </c>
      <c r="D108" s="7"/>
      <c r="E108" s="7" t="s">
        <v>49</v>
      </c>
      <c r="F108" s="7">
        <f>C108*0.0283</f>
        <v>7458600291.9176512</v>
      </c>
      <c r="G108" s="7"/>
    </row>
  </sheetData>
  <phoneticPr fontId="0" type="noConversion"/>
  <pageMargins left="0.78740157499999996" right="0.78740157499999996" top="0.984251969" bottom="0.984251969" header="0.5" footer="0.5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1</xdr:col>
                <xdr:colOff>0</xdr:colOff>
                <xdr:row>9</xdr:row>
                <xdr:rowOff>0</xdr:rowOff>
              </from>
              <to>
                <xdr:col>2</xdr:col>
                <xdr:colOff>406400</xdr:colOff>
                <xdr:row>11</xdr:row>
                <xdr:rowOff>50800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8" r:id="rId5">
          <objectPr defaultSize="0" autoPict="0" r:id="rId6">
            <anchor moveWithCells="1" sizeWithCells="1">
              <from>
                <xdr:col>1</xdr:col>
                <xdr:colOff>0</xdr:colOff>
                <xdr:row>76</xdr:row>
                <xdr:rowOff>0</xdr:rowOff>
              </from>
              <to>
                <xdr:col>2</xdr:col>
                <xdr:colOff>482600</xdr:colOff>
                <xdr:row>78</xdr:row>
                <xdr:rowOff>127000</xdr:rowOff>
              </to>
            </anchor>
          </objectPr>
        </oleObject>
      </mc:Choice>
      <mc:Fallback>
        <oleObject progId="Equation.3" shapeId="1028" r:id="rId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3"/>
  <sheetViews>
    <sheetView zoomScale="150" zoomScaleNormal="150" zoomScalePageLayoutView="150" workbookViewId="0">
      <selection activeCell="E19" sqref="E19"/>
    </sheetView>
  </sheetViews>
  <sheetFormatPr baseColWidth="10" defaultRowHeight="12" x14ac:dyDescent="0"/>
  <sheetData>
    <row r="3" spans="1:11" ht="18">
      <c r="A3" s="11" t="s">
        <v>50</v>
      </c>
      <c r="B3" s="11"/>
      <c r="C3" s="11"/>
    </row>
    <row r="5" spans="1:11">
      <c r="A5" t="s">
        <v>51</v>
      </c>
    </row>
    <row r="7" spans="1:11">
      <c r="H7" t="s">
        <v>64</v>
      </c>
      <c r="I7" t="s">
        <v>65</v>
      </c>
      <c r="J7" t="s">
        <v>66</v>
      </c>
      <c r="K7" t="s">
        <v>67</v>
      </c>
    </row>
    <row r="8" spans="1:11">
      <c r="A8" t="s">
        <v>23</v>
      </c>
      <c r="B8" t="s">
        <v>54</v>
      </c>
      <c r="C8" t="s">
        <v>52</v>
      </c>
      <c r="D8" t="s">
        <v>63</v>
      </c>
      <c r="E8" t="s">
        <v>63</v>
      </c>
      <c r="F8" t="s">
        <v>63</v>
      </c>
      <c r="G8" s="63" t="s">
        <v>63</v>
      </c>
      <c r="H8" t="s">
        <v>70</v>
      </c>
      <c r="I8" t="s">
        <v>70</v>
      </c>
      <c r="J8" t="s">
        <v>70</v>
      </c>
      <c r="K8" t="s">
        <v>70</v>
      </c>
    </row>
    <row r="9" spans="1:11">
      <c r="C9" t="s">
        <v>53</v>
      </c>
      <c r="D9" t="s">
        <v>64</v>
      </c>
      <c r="E9" t="s">
        <v>65</v>
      </c>
      <c r="F9" t="s">
        <v>66</v>
      </c>
      <c r="G9" s="63" t="s">
        <v>67</v>
      </c>
    </row>
    <row r="10" spans="1:11">
      <c r="B10" t="s">
        <v>55</v>
      </c>
      <c r="C10">
        <v>0.33960000000000001</v>
      </c>
      <c r="D10">
        <v>1.8</v>
      </c>
      <c r="E10">
        <v>2.4</v>
      </c>
      <c r="F10">
        <v>2.5</v>
      </c>
      <c r="G10" s="63">
        <v>2.6</v>
      </c>
      <c r="H10">
        <f>C10*D10</f>
        <v>0.61128000000000005</v>
      </c>
      <c r="I10">
        <f>C10*E10</f>
        <v>0.81503999999999999</v>
      </c>
      <c r="J10">
        <f>C10*F10</f>
        <v>0.84899999999999998</v>
      </c>
      <c r="K10">
        <f>C10*G10</f>
        <v>0.88296000000000008</v>
      </c>
    </row>
    <row r="11" spans="1:11">
      <c r="B11" t="s">
        <v>56</v>
      </c>
      <c r="C11">
        <v>6.4600000000000005E-2</v>
      </c>
      <c r="D11">
        <v>1</v>
      </c>
      <c r="E11">
        <v>1.05</v>
      </c>
      <c r="F11">
        <v>1.07</v>
      </c>
      <c r="G11" s="63">
        <v>1.1000000000000001</v>
      </c>
      <c r="H11">
        <f t="shared" ref="H11:H16" si="0">C11*D11</f>
        <v>6.4600000000000005E-2</v>
      </c>
      <c r="I11">
        <f t="shared" ref="I11:I16" si="1">C11*E11</f>
        <v>6.7830000000000001E-2</v>
      </c>
      <c r="J11">
        <f t="shared" ref="J11:J16" si="2">C11*F11</f>
        <v>6.9122000000000003E-2</v>
      </c>
      <c r="K11">
        <f t="shared" ref="K11:K16" si="3">C11*G11</f>
        <v>7.1060000000000012E-2</v>
      </c>
    </row>
    <row r="12" spans="1:11">
      <c r="B12" t="s">
        <v>57</v>
      </c>
      <c r="C12">
        <v>9.8699999999999996E-2</v>
      </c>
      <c r="D12">
        <v>0.66</v>
      </c>
      <c r="E12">
        <v>0.61</v>
      </c>
      <c r="F12">
        <v>0.61</v>
      </c>
      <c r="G12" s="63">
        <v>0.6</v>
      </c>
      <c r="H12">
        <f t="shared" si="0"/>
        <v>6.5142000000000005E-2</v>
      </c>
      <c r="I12">
        <f t="shared" si="1"/>
        <v>6.0206999999999997E-2</v>
      </c>
      <c r="J12">
        <f t="shared" si="2"/>
        <v>6.0206999999999997E-2</v>
      </c>
      <c r="K12">
        <f t="shared" si="3"/>
        <v>5.9219999999999995E-2</v>
      </c>
    </row>
    <row r="13" spans="1:11">
      <c r="B13" t="s">
        <v>58</v>
      </c>
      <c r="C13">
        <v>4.3400000000000001E-2</v>
      </c>
      <c r="D13">
        <v>0.44</v>
      </c>
      <c r="E13">
        <v>0.38</v>
      </c>
      <c r="F13">
        <v>0.36</v>
      </c>
      <c r="G13" s="63">
        <v>0.35</v>
      </c>
      <c r="H13">
        <f t="shared" si="0"/>
        <v>1.9096000000000002E-2</v>
      </c>
      <c r="I13">
        <f t="shared" si="1"/>
        <v>1.6492E-2</v>
      </c>
      <c r="J13">
        <f t="shared" si="2"/>
        <v>1.5623999999999999E-2</v>
      </c>
      <c r="K13">
        <f t="shared" si="3"/>
        <v>1.5189999999999999E-2</v>
      </c>
    </row>
    <row r="14" spans="1:11">
      <c r="B14" t="s">
        <v>59</v>
      </c>
      <c r="C14">
        <v>3.2000000000000001E-2</v>
      </c>
      <c r="D14">
        <v>0.26</v>
      </c>
      <c r="E14">
        <v>0.21</v>
      </c>
      <c r="F14">
        <v>0.2</v>
      </c>
      <c r="G14" s="63">
        <v>0.19</v>
      </c>
      <c r="H14">
        <f t="shared" si="0"/>
        <v>8.320000000000001E-3</v>
      </c>
      <c r="I14">
        <f t="shared" si="1"/>
        <v>6.7200000000000003E-3</v>
      </c>
      <c r="J14">
        <f t="shared" si="2"/>
        <v>6.4000000000000003E-3</v>
      </c>
      <c r="K14">
        <f t="shared" si="3"/>
        <v>6.0800000000000003E-3</v>
      </c>
    </row>
    <row r="15" spans="1:11">
      <c r="B15" t="s">
        <v>60</v>
      </c>
      <c r="C15">
        <v>0.03</v>
      </c>
      <c r="D15">
        <v>0.16</v>
      </c>
      <c r="E15">
        <v>0.12</v>
      </c>
      <c r="F15">
        <v>0.11</v>
      </c>
      <c r="G15" s="63">
        <v>0.11</v>
      </c>
      <c r="H15">
        <f t="shared" si="0"/>
        <v>4.7999999999999996E-3</v>
      </c>
      <c r="I15">
        <f t="shared" si="1"/>
        <v>3.5999999999999999E-3</v>
      </c>
      <c r="J15">
        <f t="shared" si="2"/>
        <v>3.3E-3</v>
      </c>
      <c r="K15">
        <f t="shared" si="3"/>
        <v>3.3E-3</v>
      </c>
    </row>
    <row r="16" spans="1:11">
      <c r="B16" t="s">
        <v>61</v>
      </c>
      <c r="C16">
        <v>0.39169999999999999</v>
      </c>
      <c r="D16">
        <v>1.4999999999999999E-2</v>
      </c>
      <c r="E16">
        <v>8.9999999999999993E-3</v>
      </c>
      <c r="F16">
        <v>8.0000000000000002E-3</v>
      </c>
      <c r="G16" s="63">
        <v>7.4999999999999997E-3</v>
      </c>
      <c r="H16">
        <f t="shared" si="0"/>
        <v>5.8754999999999996E-3</v>
      </c>
      <c r="I16">
        <f t="shared" si="1"/>
        <v>3.5252999999999999E-3</v>
      </c>
      <c r="J16">
        <f t="shared" si="2"/>
        <v>3.1335999999999998E-3</v>
      </c>
      <c r="K16">
        <f t="shared" si="3"/>
        <v>2.9377499999999998E-3</v>
      </c>
    </row>
    <row r="17" spans="1:11">
      <c r="B17" t="s">
        <v>62</v>
      </c>
      <c r="C17" s="10">
        <f>SUM(C10:C16)</f>
        <v>1</v>
      </c>
      <c r="H17">
        <f>SUM(H10:H16)</f>
        <v>0.77911350000000013</v>
      </c>
      <c r="I17">
        <f>SUM(I10:I16)</f>
        <v>0.97341429999999995</v>
      </c>
      <c r="J17">
        <f>SUM(J10:J16)</f>
        <v>1.0067866000000001</v>
      </c>
      <c r="K17">
        <f>SUM(K10:K16)</f>
        <v>1.0407477500000004</v>
      </c>
    </row>
    <row r="19" spans="1:11">
      <c r="A19" t="s">
        <v>68</v>
      </c>
      <c r="B19" s="8" t="s">
        <v>69</v>
      </c>
      <c r="H19" t="s">
        <v>71</v>
      </c>
      <c r="I19" t="s">
        <v>71</v>
      </c>
      <c r="J19" t="s">
        <v>73</v>
      </c>
      <c r="K19" t="s">
        <v>77</v>
      </c>
    </row>
    <row r="20" spans="1:11">
      <c r="H20" t="s">
        <v>72</v>
      </c>
      <c r="I20" t="s">
        <v>72</v>
      </c>
      <c r="J20" t="s">
        <v>75</v>
      </c>
      <c r="K20" t="s">
        <v>74</v>
      </c>
    </row>
    <row r="21" spans="1:11">
      <c r="B21" t="s">
        <v>375</v>
      </c>
      <c r="J21" t="s">
        <v>76</v>
      </c>
    </row>
    <row r="23" spans="1:11">
      <c r="F23" s="7" t="s">
        <v>78</v>
      </c>
      <c r="G23" s="7" t="s">
        <v>79</v>
      </c>
      <c r="H23" s="7"/>
      <c r="I23" s="7"/>
    </row>
  </sheetData>
  <phoneticPr fontId="0" type="noConversion"/>
  <pageMargins left="0.78740157499999996" right="0.78740157499999996" top="0.984251969" bottom="0.984251969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P78"/>
  <sheetViews>
    <sheetView topLeftCell="A21" workbookViewId="0">
      <selection activeCell="L24" sqref="L24"/>
    </sheetView>
  </sheetViews>
  <sheetFormatPr baseColWidth="10" defaultRowHeight="12" x14ac:dyDescent="0"/>
  <cols>
    <col min="3" max="3" width="14.5" bestFit="1" customWidth="1"/>
    <col min="12" max="12" width="13" bestFit="1" customWidth="1"/>
    <col min="16" max="16" width="11.5" bestFit="1" customWidth="1"/>
  </cols>
  <sheetData>
    <row r="3" spans="1:16" ht="18">
      <c r="A3" s="12" t="s">
        <v>80</v>
      </c>
      <c r="B3" s="12"/>
      <c r="C3" s="12"/>
      <c r="D3" s="13"/>
    </row>
    <row r="5" spans="1:16">
      <c r="A5" t="s">
        <v>81</v>
      </c>
    </row>
    <row r="7" spans="1:16">
      <c r="A7" t="s">
        <v>82</v>
      </c>
      <c r="B7" t="s">
        <v>83</v>
      </c>
      <c r="C7">
        <v>40</v>
      </c>
      <c r="D7" t="s">
        <v>84</v>
      </c>
      <c r="E7">
        <v>35</v>
      </c>
    </row>
    <row r="8" spans="1:16">
      <c r="A8" t="s">
        <v>85</v>
      </c>
      <c r="B8" t="s">
        <v>83</v>
      </c>
      <c r="C8">
        <v>40</v>
      </c>
      <c r="D8" t="s">
        <v>84</v>
      </c>
      <c r="E8">
        <v>15</v>
      </c>
      <c r="G8" t="s">
        <v>403</v>
      </c>
    </row>
    <row r="9" spans="1:16">
      <c r="O9">
        <v>0.97889999999999999</v>
      </c>
    </row>
    <row r="10" spans="1:16">
      <c r="A10" t="s">
        <v>86</v>
      </c>
      <c r="M10" s="21" t="s">
        <v>122</v>
      </c>
      <c r="N10" s="22"/>
      <c r="O10" s="21" t="s">
        <v>131</v>
      </c>
    </row>
    <row r="11" spans="1:16">
      <c r="B11" s="18" t="s">
        <v>54</v>
      </c>
      <c r="C11" s="18" t="s">
        <v>52</v>
      </c>
      <c r="D11" s="18" t="s">
        <v>63</v>
      </c>
      <c r="E11" s="18" t="s">
        <v>63</v>
      </c>
      <c r="F11" s="18" t="s">
        <v>91</v>
      </c>
      <c r="G11" s="18"/>
      <c r="H11" s="18" t="s">
        <v>106</v>
      </c>
      <c r="I11" s="18" t="s">
        <v>107</v>
      </c>
      <c r="J11" s="18" t="s">
        <v>113</v>
      </c>
      <c r="K11" s="18" t="s">
        <v>115</v>
      </c>
      <c r="L11" s="18" t="s">
        <v>118</v>
      </c>
      <c r="M11" s="21" t="s">
        <v>123</v>
      </c>
      <c r="N11" s="21" t="s">
        <v>54</v>
      </c>
      <c r="O11" s="21" t="s">
        <v>123</v>
      </c>
      <c r="P11" s="21" t="s">
        <v>36</v>
      </c>
    </row>
    <row r="12" spans="1:16">
      <c r="B12" s="18"/>
      <c r="C12" s="18" t="s">
        <v>89</v>
      </c>
      <c r="D12" s="18" t="s">
        <v>90</v>
      </c>
      <c r="E12" s="18" t="s">
        <v>85</v>
      </c>
      <c r="F12" s="18"/>
      <c r="G12" s="18"/>
      <c r="H12" s="18">
        <v>0.5</v>
      </c>
      <c r="I12" s="18"/>
      <c r="J12" s="18">
        <f>C55</f>
        <v>0.52020976764071192</v>
      </c>
      <c r="K12" s="18"/>
      <c r="L12" s="18">
        <f>C60</f>
        <v>0.5211202008862067</v>
      </c>
      <c r="M12" s="21" t="s">
        <v>53</v>
      </c>
      <c r="N12" s="21"/>
      <c r="O12" s="21" t="s">
        <v>53</v>
      </c>
    </row>
    <row r="13" spans="1:16">
      <c r="B13" t="s">
        <v>55</v>
      </c>
      <c r="C13">
        <v>0.33960000000000001</v>
      </c>
      <c r="D13">
        <v>61</v>
      </c>
      <c r="E13">
        <v>145</v>
      </c>
      <c r="F13">
        <v>16.04</v>
      </c>
      <c r="H13">
        <f>C13/(H12+(1-H12)*D13)</f>
        <v>1.0954838709677419E-2</v>
      </c>
      <c r="I13">
        <f>((D13-1)*C13)/POWER(H12+(1-H12)*D13,2)</f>
        <v>2.1202913631633718E-2</v>
      </c>
      <c r="J13">
        <f>C13/(J12+(1-J12)*D13)</f>
        <v>1.1400788288177451E-2</v>
      </c>
      <c r="K13">
        <f>((D13-1)*C13)/POWER(J12+(1-J12)*D13,2)</f>
        <v>2.2964306288311687E-2</v>
      </c>
      <c r="L13">
        <f>C13/(L12+(1-L12)*D13)</f>
        <v>1.1421734167926703E-2</v>
      </c>
      <c r="M13" s="23">
        <f>L13</f>
        <v>1.1421734167926703E-2</v>
      </c>
      <c r="N13" s="24" t="s">
        <v>55</v>
      </c>
      <c r="O13" s="23">
        <f>M13/(O9+(1-O9)*E13)</f>
        <v>2.8282820344509461E-3</v>
      </c>
      <c r="P13" s="10">
        <f>M13*F13</f>
        <v>0.18320461605354432</v>
      </c>
    </row>
    <row r="14" spans="1:16">
      <c r="B14" t="s">
        <v>56</v>
      </c>
      <c r="C14">
        <v>6.4600000000000005E-2</v>
      </c>
      <c r="D14">
        <v>9</v>
      </c>
      <c r="E14">
        <v>20.5</v>
      </c>
      <c r="F14">
        <v>30.06</v>
      </c>
      <c r="H14">
        <f>C14/(H12+(1-H12)*D14)</f>
        <v>1.2920000000000001E-2</v>
      </c>
      <c r="I14">
        <f>((D14-1)*C14)/POWER(H12+(1-H12)*D14,2)</f>
        <v>2.0672000000000003E-2</v>
      </c>
      <c r="J14">
        <f>C14/(J12+(1-J12)*D14)</f>
        <v>1.335173679723531E-2</v>
      </c>
      <c r="K14">
        <f>((D14-1)*C14)/POWER(J12+(1-J12)*D14,2)</f>
        <v>2.2076640929120425E-2</v>
      </c>
      <c r="L14">
        <f>C14/(L12+(1-L12)*D14)</f>
        <v>1.3371866407603364E-2</v>
      </c>
      <c r="M14" s="23">
        <f t="shared" ref="M14:M19" si="0">L14</f>
        <v>1.3371866407603364E-2</v>
      </c>
      <c r="N14" s="24" t="s">
        <v>56</v>
      </c>
      <c r="O14" s="23">
        <f>M14/(O9+(1-O9)*E14)</f>
        <v>9.4738505845785269E-3</v>
      </c>
      <c r="P14" s="10">
        <f t="shared" ref="P14:P19" si="1">M14*F14</f>
        <v>0.40195830421255713</v>
      </c>
    </row>
    <row r="15" spans="1:16">
      <c r="B15" t="s">
        <v>57</v>
      </c>
      <c r="C15">
        <v>9.8699999999999996E-2</v>
      </c>
      <c r="D15">
        <v>2.2000000000000002</v>
      </c>
      <c r="E15">
        <v>5.0999999999999996</v>
      </c>
      <c r="F15">
        <v>44.09</v>
      </c>
      <c r="H15">
        <f>C15/(H12+(1-H12)*D15)</f>
        <v>6.1687499999999992E-2</v>
      </c>
      <c r="I15">
        <f>((D15-1)*C15)/POWER(H12+(1-H12)*D15,2)</f>
        <v>4.6265624999999998E-2</v>
      </c>
      <c r="J15">
        <f>C15/(J12+(1-J12)*D15)</f>
        <v>6.263690801757589E-2</v>
      </c>
      <c r="K15">
        <f>((D15-1)*C15)/POWER(J12+(1-J12)*D15,2)</f>
        <v>4.770069600002752E-2</v>
      </c>
      <c r="L15">
        <f>C15/(L12+(1-L12)*D15)</f>
        <v>6.2680366448256156E-2</v>
      </c>
      <c r="M15" s="23">
        <f t="shared" si="0"/>
        <v>6.2680366448256156E-2</v>
      </c>
      <c r="N15" s="24" t="s">
        <v>57</v>
      </c>
      <c r="O15" s="23">
        <f>M15/(O9+(1-O9)*E15)</f>
        <v>5.768963603487879E-2</v>
      </c>
      <c r="P15" s="10">
        <f t="shared" si="1"/>
        <v>2.7635773567036139</v>
      </c>
    </row>
    <row r="16" spans="1:16">
      <c r="B16" t="s">
        <v>87</v>
      </c>
      <c r="C16">
        <v>4.3400000000000001E-2</v>
      </c>
      <c r="D16">
        <v>0.61</v>
      </c>
      <c r="E16">
        <v>1.4</v>
      </c>
      <c r="F16">
        <v>58.12</v>
      </c>
      <c r="H16">
        <f>C16/(H12+(1-H12)*D16)</f>
        <v>5.3913043478260876E-2</v>
      </c>
      <c r="I16">
        <f>((D16-1)*C16)/POWER(H12+(1-H12)*D16,2)</f>
        <v>-2.6119362678908999E-2</v>
      </c>
      <c r="J16">
        <f>C16/(J12+(1-J12)*D16)</f>
        <v>5.3390295488477617E-2</v>
      </c>
      <c r="K16">
        <f>((D16-1)*C16)/POWER(J12+(1-J12)+D16,2)</f>
        <v>-6.5298406697272496E-3</v>
      </c>
      <c r="L16">
        <f>C16/(L12+(1-L12)*D16)</f>
        <v>5.3366984645715092E-2</v>
      </c>
      <c r="M16" s="23">
        <f t="shared" si="0"/>
        <v>5.3366984645715092E-2</v>
      </c>
      <c r="N16" s="24" t="s">
        <v>87</v>
      </c>
      <c r="O16" s="23">
        <f>M16/(O9+(1-O9)*E16)</f>
        <v>5.2920337001423082E-2</v>
      </c>
      <c r="P16" s="10">
        <f t="shared" si="1"/>
        <v>3.101689147608961</v>
      </c>
    </row>
    <row r="17" spans="1:16">
      <c r="B17" t="s">
        <v>88</v>
      </c>
      <c r="C17">
        <v>3.2000000000000001E-2</v>
      </c>
      <c r="D17">
        <v>0.151</v>
      </c>
      <c r="E17">
        <v>0.375</v>
      </c>
      <c r="F17">
        <v>72.14</v>
      </c>
      <c r="H17">
        <f>C17/(H12+(1-H12)*D17)</f>
        <v>5.560382276281494E-2</v>
      </c>
      <c r="I17">
        <f>((D17-1)*C17)/POWER(H12+(1-H12)*D17,2)</f>
        <v>-8.2028923589278685E-2</v>
      </c>
      <c r="J17">
        <f>C17/(J12+(1-J12)*D17)</f>
        <v>5.3994031959911648E-2</v>
      </c>
      <c r="K17">
        <f>((D17-1)*C17)/POWER(J12+(1-J12)*D17,2)</f>
        <v>-7.7348025272108711E-2</v>
      </c>
      <c r="L17">
        <f>C17/(L12+(1-L12)*D17)</f>
        <v>5.3923703470206211E-2</v>
      </c>
      <c r="M17" s="23">
        <f t="shared" si="0"/>
        <v>5.3923703470206211E-2</v>
      </c>
      <c r="N17" s="24" t="s">
        <v>88</v>
      </c>
      <c r="O17" s="23">
        <f>M17/(O9+(1-O9)*E17)</f>
        <v>5.4644325512907682E-2</v>
      </c>
      <c r="P17" s="10">
        <f t="shared" si="1"/>
        <v>3.8900559683406759</v>
      </c>
    </row>
    <row r="18" spans="1:16">
      <c r="B18" t="s">
        <v>60</v>
      </c>
      <c r="C18">
        <v>0.03</v>
      </c>
      <c r="D18">
        <v>3.5000000000000003E-2</v>
      </c>
      <c r="E18">
        <v>7.4999999999999997E-2</v>
      </c>
      <c r="F18">
        <v>86.17</v>
      </c>
      <c r="H18">
        <f>C18/(H12+(1-H12)*D18)</f>
        <v>5.7971014492753624E-2</v>
      </c>
      <c r="I18">
        <f>((D18-1)*C18)/POWER(H12+(1-H12)*D18,2)</f>
        <v>-0.10810053910242946</v>
      </c>
      <c r="J18">
        <f>C18/(J12+(1-J12)*D18)</f>
        <v>5.5865669427470094E-2</v>
      </c>
      <c r="K18">
        <f>((D18-1)*C18)/POWER(J12+(1-J12)*D18,2)</f>
        <v>-0.10039129882863629</v>
      </c>
      <c r="L18">
        <f>C18/(L12+(1-L12)*D18)</f>
        <v>5.5774419142381369E-2</v>
      </c>
      <c r="M18" s="23">
        <f t="shared" si="0"/>
        <v>5.5774419142381369E-2</v>
      </c>
      <c r="N18" s="24" t="s">
        <v>60</v>
      </c>
      <c r="O18" s="23">
        <f>M18/(O9+(1-O9)*E18)</f>
        <v>5.6884665603293652E-2</v>
      </c>
      <c r="P18" s="10">
        <f t="shared" si="1"/>
        <v>4.8060816974990024</v>
      </c>
    </row>
    <row r="19" spans="1:16">
      <c r="B19" t="s">
        <v>61</v>
      </c>
      <c r="C19">
        <v>0.39169999999999999</v>
      </c>
      <c r="D19">
        <v>3.2000000000000002E-3</v>
      </c>
      <c r="E19">
        <v>3.0000000000000001E-3</v>
      </c>
      <c r="F19">
        <v>263</v>
      </c>
      <c r="H19">
        <f>C19/(H12+(1-H12)*D19)</f>
        <v>0.7809011164274321</v>
      </c>
      <c r="I19">
        <f>((D19-1)*C19)/POWER(H12+(1-H12)*D19,2)</f>
        <v>-1.5518385822465397</v>
      </c>
      <c r="J19">
        <f>C19/(J12+(1-J12)*D19)</f>
        <v>0.75074974870777833</v>
      </c>
      <c r="K19">
        <f>((D19-1)*C19)/POWER(J12+(1-J12)*D19,2)</f>
        <v>-1.4343160188720987</v>
      </c>
      <c r="L19">
        <f>C19/(L12+(1-L12)*D19)</f>
        <v>0.74944616716049628</v>
      </c>
      <c r="M19" s="23">
        <f t="shared" si="0"/>
        <v>0.74944616716049628</v>
      </c>
      <c r="N19" s="24" t="s">
        <v>61</v>
      </c>
      <c r="O19" s="23">
        <f>M19/(O9+(1-O9)*E19)</f>
        <v>0.7655508303125319</v>
      </c>
      <c r="P19" s="10">
        <f t="shared" si="1"/>
        <v>197.10434196321052</v>
      </c>
    </row>
    <row r="20" spans="1:16">
      <c r="B20" t="s">
        <v>62</v>
      </c>
      <c r="C20" s="10">
        <f>SUM(C13:C19)</f>
        <v>1</v>
      </c>
      <c r="H20">
        <f t="shared" ref="H20:M20" si="2">SUM(H13:H19)</f>
        <v>1.0339513358709389</v>
      </c>
      <c r="I20" s="16">
        <f t="shared" si="2"/>
        <v>-1.6799468689855233</v>
      </c>
      <c r="J20">
        <f t="shared" si="2"/>
        <v>1.0013891786866265</v>
      </c>
      <c r="K20" s="16">
        <f t="shared" si="2"/>
        <v>-1.5258435404251114</v>
      </c>
      <c r="L20">
        <f t="shared" si="2"/>
        <v>0.99998524144258516</v>
      </c>
      <c r="M20" s="26">
        <f t="shared" si="2"/>
        <v>0.99998524144258516</v>
      </c>
      <c r="N20" s="22"/>
      <c r="O20" s="27">
        <f>SUM(O13:O19)</f>
        <v>0.99999192708406459</v>
      </c>
      <c r="P20" s="19">
        <f>SUM(P13:P19)</f>
        <v>212.25090905362887</v>
      </c>
    </row>
    <row r="22" spans="1:16">
      <c r="A22" s="8" t="s">
        <v>92</v>
      </c>
      <c r="B22">
        <v>55.28</v>
      </c>
      <c r="E22" s="8" t="s">
        <v>102</v>
      </c>
      <c r="F22">
        <v>53.5</v>
      </c>
      <c r="H22" s="16">
        <f>H20-1</f>
        <v>3.3951335870938903E-2</v>
      </c>
      <c r="J22" s="16">
        <f>J20-1</f>
        <v>1.3891786866264688E-3</v>
      </c>
      <c r="L22" s="64">
        <f>L20-1</f>
        <v>-1.4758557414840112E-5</v>
      </c>
    </row>
    <row r="23" spans="1:16">
      <c r="A23" t="s">
        <v>93</v>
      </c>
      <c r="B23">
        <v>46.6</v>
      </c>
    </row>
    <row r="24" spans="1:16">
      <c r="A24" t="s">
        <v>94</v>
      </c>
      <c r="B24">
        <v>122.17</v>
      </c>
    </row>
    <row r="25" spans="1:16">
      <c r="A25" t="s">
        <v>95</v>
      </c>
      <c r="C25">
        <v>380.69</v>
      </c>
    </row>
    <row r="27" spans="1:16" ht="17">
      <c r="A27" s="1" t="s">
        <v>16</v>
      </c>
      <c r="I27" s="14" t="s">
        <v>19</v>
      </c>
    </row>
    <row r="28" spans="1:16">
      <c r="A28" t="s">
        <v>96</v>
      </c>
      <c r="I28" t="s">
        <v>100</v>
      </c>
      <c r="J28" t="s">
        <v>101</v>
      </c>
    </row>
    <row r="29" spans="1:16">
      <c r="A29" t="s">
        <v>97</v>
      </c>
    </row>
    <row r="31" spans="1:16" ht="17">
      <c r="A31" s="1" t="s">
        <v>17</v>
      </c>
      <c r="I31" s="1" t="s">
        <v>33</v>
      </c>
    </row>
    <row r="32" spans="1:16">
      <c r="A32" t="s">
        <v>98</v>
      </c>
      <c r="I32" t="s">
        <v>103</v>
      </c>
    </row>
    <row r="33" spans="1:10">
      <c r="A33" t="s">
        <v>99</v>
      </c>
    </row>
    <row r="36" spans="1:10" ht="18">
      <c r="A36" s="15" t="s">
        <v>22</v>
      </c>
      <c r="B36" s="15"/>
      <c r="I36" s="28" t="s">
        <v>22</v>
      </c>
      <c r="J36" s="20"/>
    </row>
    <row r="38" spans="1:10" ht="17">
      <c r="A38" s="1" t="s">
        <v>16</v>
      </c>
      <c r="I38" s="1" t="s">
        <v>19</v>
      </c>
    </row>
    <row r="39" spans="1:10">
      <c r="A39" t="s">
        <v>376</v>
      </c>
    </row>
    <row r="40" spans="1:10" ht="15">
      <c r="I40" s="5" t="s">
        <v>132</v>
      </c>
    </row>
    <row r="41" spans="1:10" ht="15">
      <c r="B41" s="5" t="s">
        <v>104</v>
      </c>
      <c r="I41" s="5"/>
    </row>
    <row r="42" spans="1:10" ht="15">
      <c r="B42" s="5"/>
    </row>
    <row r="43" spans="1:10" ht="15">
      <c r="I43" s="5"/>
    </row>
    <row r="44" spans="1:10" ht="15">
      <c r="B44" s="5"/>
      <c r="I44" s="5" t="s">
        <v>133</v>
      </c>
    </row>
    <row r="45" spans="1:10" ht="15">
      <c r="B45" s="5" t="s">
        <v>105</v>
      </c>
      <c r="I45" s="5"/>
    </row>
    <row r="46" spans="1:10" ht="15">
      <c r="B46" s="5"/>
    </row>
    <row r="47" spans="1:10" ht="15">
      <c r="I47" s="5"/>
    </row>
    <row r="49" spans="1:11" ht="15">
      <c r="I49" s="5"/>
    </row>
    <row r="51" spans="1:11">
      <c r="A51" t="s">
        <v>108</v>
      </c>
      <c r="B51" t="s">
        <v>106</v>
      </c>
      <c r="C51">
        <f>H22</f>
        <v>3.3951335870938903E-2</v>
      </c>
    </row>
    <row r="52" spans="1:11">
      <c r="B52" t="s">
        <v>109</v>
      </c>
      <c r="C52">
        <f>I20</f>
        <v>-1.6799468689855233</v>
      </c>
    </row>
    <row r="53" spans="1:11">
      <c r="B53" t="s">
        <v>110</v>
      </c>
    </row>
    <row r="54" spans="1:11">
      <c r="B54" t="s">
        <v>111</v>
      </c>
    </row>
    <row r="55" spans="1:11">
      <c r="B55" t="s">
        <v>112</v>
      </c>
      <c r="C55">
        <f>(-C51+C52*H12)/C52</f>
        <v>0.52020976764071192</v>
      </c>
      <c r="I55" s="29" t="s">
        <v>134</v>
      </c>
      <c r="J55" s="29"/>
      <c r="K55" s="30">
        <f>(C25*C65*F22*5.615)/(P20*C64*B76)</f>
        <v>505.79639855873711</v>
      </c>
    </row>
    <row r="56" spans="1:11">
      <c r="I56" s="29" t="s">
        <v>135</v>
      </c>
      <c r="J56" s="29"/>
      <c r="K56" s="30">
        <f>(C25*B77*F22*5.615)/(P20*B76)</f>
        <v>11.613672616151252</v>
      </c>
    </row>
    <row r="57" spans="1:11">
      <c r="A57" t="s">
        <v>114</v>
      </c>
      <c r="B57" t="s">
        <v>113</v>
      </c>
      <c r="C57">
        <f>J22</f>
        <v>1.3891786866264688E-3</v>
      </c>
      <c r="I57" s="29" t="s">
        <v>136</v>
      </c>
      <c r="J57" s="29"/>
      <c r="K57" s="30">
        <f>K55+K56</f>
        <v>517.41007117488834</v>
      </c>
    </row>
    <row r="58" spans="1:11">
      <c r="B58" t="s">
        <v>115</v>
      </c>
      <c r="C58">
        <f>K20</f>
        <v>-1.5258435404251114</v>
      </c>
    </row>
    <row r="59" spans="1:11">
      <c r="B59" t="s">
        <v>116</v>
      </c>
    </row>
    <row r="60" spans="1:11">
      <c r="B60" t="s">
        <v>112</v>
      </c>
      <c r="C60">
        <f>(-C57+C58*J12)/C58</f>
        <v>0.5211202008862067</v>
      </c>
    </row>
    <row r="61" spans="1:11" ht="17">
      <c r="I61" s="1" t="s">
        <v>33</v>
      </c>
    </row>
    <row r="62" spans="1:11">
      <c r="A62" t="s">
        <v>117</v>
      </c>
      <c r="B62" s="16" t="s">
        <v>118</v>
      </c>
      <c r="C62" s="16">
        <f>L22</f>
        <v>-1.4758557414840112E-5</v>
      </c>
      <c r="D62" s="16" t="s">
        <v>119</v>
      </c>
    </row>
    <row r="63" spans="1:11" ht="15">
      <c r="I63" s="5" t="s">
        <v>137</v>
      </c>
    </row>
    <row r="64" spans="1:11" ht="15">
      <c r="B64" s="29" t="s">
        <v>120</v>
      </c>
      <c r="C64" s="25">
        <f>C60</f>
        <v>0.5211202008862067</v>
      </c>
      <c r="I64" s="5"/>
    </row>
    <row r="65" spans="1:11">
      <c r="B65" s="29" t="s">
        <v>121</v>
      </c>
      <c r="C65" s="25">
        <f>1-C64</f>
        <v>0.4788797991137933</v>
      </c>
    </row>
    <row r="67" spans="1:11">
      <c r="B67" s="29" t="s">
        <v>124</v>
      </c>
      <c r="C67" s="29"/>
      <c r="D67" s="29"/>
    </row>
    <row r="69" spans="1:11">
      <c r="I69" s="29" t="s">
        <v>138</v>
      </c>
      <c r="J69" s="29"/>
      <c r="K69" s="31">
        <f>(B24*F22)/(C64*B76*P20*B23)</f>
        <v>1.2954082037668191</v>
      </c>
    </row>
    <row r="70" spans="1:11" ht="17">
      <c r="A70" s="1" t="s">
        <v>17</v>
      </c>
    </row>
    <row r="71" spans="1:11">
      <c r="A71" t="s">
        <v>125</v>
      </c>
    </row>
    <row r="72" spans="1:11">
      <c r="A72" t="s">
        <v>126</v>
      </c>
    </row>
    <row r="74" spans="1:11">
      <c r="A74" t="s">
        <v>127</v>
      </c>
    </row>
    <row r="76" spans="1:11">
      <c r="A76" s="29" t="s">
        <v>128</v>
      </c>
      <c r="B76" s="29">
        <v>0.97889999999999999</v>
      </c>
      <c r="C76" s="29"/>
    </row>
    <row r="77" spans="1:11">
      <c r="A77" s="29" t="s">
        <v>129</v>
      </c>
      <c r="B77" s="29">
        <v>2.1100000000000001E-2</v>
      </c>
      <c r="C77" s="29"/>
    </row>
    <row r="78" spans="1:11">
      <c r="A78" s="29" t="s">
        <v>130</v>
      </c>
      <c r="B78" s="29"/>
      <c r="C78" s="29"/>
    </row>
  </sheetData>
  <phoneticPr fontId="0" type="noConversion"/>
  <pageMargins left="0.78740157499999996" right="0.78740157499999996" top="0.984251969" bottom="0.984251969" header="0.5" footer="0.5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2051" r:id="rId3">
          <objectPr defaultSize="0" autoPict="0" r:id="rId4">
            <anchor moveWithCells="1" sizeWithCells="1">
              <from>
                <xdr:col>1</xdr:col>
                <xdr:colOff>0</xdr:colOff>
                <xdr:row>41</xdr:row>
                <xdr:rowOff>0</xdr:rowOff>
              </from>
              <to>
                <xdr:col>4</xdr:col>
                <xdr:colOff>304800</xdr:colOff>
                <xdr:row>43</xdr:row>
                <xdr:rowOff>127000</xdr:rowOff>
              </to>
            </anchor>
          </objectPr>
        </oleObject>
      </mc:Choice>
      <mc:Fallback>
        <oleObject progId="Equation.3" shapeId="2051" r:id="rId3"/>
      </mc:Fallback>
    </mc:AlternateContent>
    <mc:AlternateContent xmlns:mc="http://schemas.openxmlformats.org/markup-compatibility/2006">
      <mc:Choice Requires="x14">
        <oleObject progId="Equation.3" shapeId="2050" r:id="rId5">
          <objectPr defaultSize="0" autoPict="0" r:id="rId6">
            <anchor moveWithCells="1" sizeWithCells="1">
              <from>
                <xdr:col>1</xdr:col>
                <xdr:colOff>0</xdr:colOff>
                <xdr:row>46</xdr:row>
                <xdr:rowOff>0</xdr:rowOff>
              </from>
              <to>
                <xdr:col>3</xdr:col>
                <xdr:colOff>177800</xdr:colOff>
                <xdr:row>48</xdr:row>
                <xdr:rowOff>139700</xdr:rowOff>
              </to>
            </anchor>
          </objectPr>
        </oleObject>
      </mc:Choice>
      <mc:Fallback>
        <oleObject progId="Equation.3" shapeId="2050" r:id="rId5"/>
      </mc:Fallback>
    </mc:AlternateContent>
    <mc:AlternateContent xmlns:mc="http://schemas.openxmlformats.org/markup-compatibility/2006">
      <mc:Choice Requires="x14">
        <oleObject progId="Equation.3" shapeId="2049" r:id="rId7">
          <objectPr defaultSize="0" autoPict="0" r:id="rId8">
            <anchor moveWithCells="1" sizeWithCells="1">
              <from>
                <xdr:col>1</xdr:col>
                <xdr:colOff>0</xdr:colOff>
                <xdr:row>46</xdr:row>
                <xdr:rowOff>0</xdr:rowOff>
              </from>
              <to>
                <xdr:col>1</xdr:col>
                <xdr:colOff>114300</xdr:colOff>
                <xdr:row>47</xdr:row>
                <xdr:rowOff>63500</xdr:rowOff>
              </to>
            </anchor>
          </objectPr>
        </oleObject>
      </mc:Choice>
      <mc:Fallback>
        <oleObject progId="Equation.3" shapeId="2049" r:id="rId7"/>
      </mc:Fallback>
    </mc:AlternateContent>
    <mc:AlternateContent xmlns:mc="http://schemas.openxmlformats.org/markup-compatibility/2006">
      <mc:Choice Requires="x14">
        <oleObject progId="Equation.3" shapeId="2055" r:id="rId9">
          <objectPr defaultSize="0" autoPict="0" r:id="rId10">
            <anchor moveWithCells="1" sizeWithCells="1">
              <from>
                <xdr:col>8</xdr:col>
                <xdr:colOff>25400</xdr:colOff>
                <xdr:row>40</xdr:row>
                <xdr:rowOff>76200</xdr:rowOff>
              </from>
              <to>
                <xdr:col>9</xdr:col>
                <xdr:colOff>228600</xdr:colOff>
                <xdr:row>42</xdr:row>
                <xdr:rowOff>101600</xdr:rowOff>
              </to>
            </anchor>
          </objectPr>
        </oleObject>
      </mc:Choice>
      <mc:Fallback>
        <oleObject progId="Equation.3" shapeId="2055" r:id="rId9"/>
      </mc:Fallback>
    </mc:AlternateContent>
    <mc:AlternateContent xmlns:mc="http://schemas.openxmlformats.org/markup-compatibility/2006">
      <mc:Choice Requires="x14">
        <oleObject progId="Equation.3" shapeId="2054" r:id="rId11">
          <objectPr defaultSize="0" autoPict="0" r:id="rId12">
            <anchor moveWithCells="1" sizeWithCells="1">
              <from>
                <xdr:col>8</xdr:col>
                <xdr:colOff>0</xdr:colOff>
                <xdr:row>45</xdr:row>
                <xdr:rowOff>0</xdr:rowOff>
              </from>
              <to>
                <xdr:col>10</xdr:col>
                <xdr:colOff>12700</xdr:colOff>
                <xdr:row>47</xdr:row>
                <xdr:rowOff>50800</xdr:rowOff>
              </to>
            </anchor>
          </objectPr>
        </oleObject>
      </mc:Choice>
      <mc:Fallback>
        <oleObject progId="Equation.3" shapeId="2054" r:id="rId11"/>
      </mc:Fallback>
    </mc:AlternateContent>
    <mc:AlternateContent xmlns:mc="http://schemas.openxmlformats.org/markup-compatibility/2006">
      <mc:Choice Requires="x14">
        <oleObject progId="Equation.3" shapeId="2053" r:id="rId13">
          <objectPr defaultSize="0" autoPict="0" r:id="rId14">
            <anchor moveWithCells="1" sizeWithCells="1">
              <from>
                <xdr:col>8</xdr:col>
                <xdr:colOff>12700</xdr:colOff>
                <xdr:row>47</xdr:row>
                <xdr:rowOff>127000</xdr:rowOff>
              </from>
              <to>
                <xdr:col>10</xdr:col>
                <xdr:colOff>88900</xdr:colOff>
                <xdr:row>50</xdr:row>
                <xdr:rowOff>50800</xdr:rowOff>
              </to>
            </anchor>
          </objectPr>
        </oleObject>
      </mc:Choice>
      <mc:Fallback>
        <oleObject progId="Equation.3" shapeId="2053" r:id="rId13"/>
      </mc:Fallback>
    </mc:AlternateContent>
    <mc:AlternateContent xmlns:mc="http://schemas.openxmlformats.org/markup-compatibility/2006">
      <mc:Choice Requires="x14">
        <oleObject progId="Equation.3" shapeId="2052" r:id="rId15">
          <objectPr defaultSize="0" autoPict="0" r:id="rId16">
            <anchor moveWithCells="1" sizeWithCells="1">
              <from>
                <xdr:col>8</xdr:col>
                <xdr:colOff>12700</xdr:colOff>
                <xdr:row>51</xdr:row>
                <xdr:rowOff>63500</xdr:rowOff>
              </from>
              <to>
                <xdr:col>10</xdr:col>
                <xdr:colOff>215900</xdr:colOff>
                <xdr:row>52</xdr:row>
                <xdr:rowOff>139700</xdr:rowOff>
              </to>
            </anchor>
          </objectPr>
        </oleObject>
      </mc:Choice>
      <mc:Fallback>
        <oleObject progId="Equation.3" shapeId="2052" r:id="rId15"/>
      </mc:Fallback>
    </mc:AlternateContent>
    <mc:AlternateContent xmlns:mc="http://schemas.openxmlformats.org/markup-compatibility/2006">
      <mc:Choice Requires="x14">
        <oleObject progId="Equation.3" shapeId="2056" r:id="rId17">
          <objectPr defaultSize="0" autoPict="0" r:id="rId18">
            <anchor moveWithCells="1" sizeWithCells="1">
              <from>
                <xdr:col>7</xdr:col>
                <xdr:colOff>749300</xdr:colOff>
                <xdr:row>63</xdr:row>
                <xdr:rowOff>177800</xdr:rowOff>
              </from>
              <to>
                <xdr:col>10</xdr:col>
                <xdr:colOff>330200</xdr:colOff>
                <xdr:row>67</xdr:row>
                <xdr:rowOff>63500</xdr:rowOff>
              </to>
            </anchor>
          </objectPr>
        </oleObject>
      </mc:Choice>
      <mc:Fallback>
        <oleObject progId="Equation.3" shapeId="2056" r:id="rId17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150"/>
  <sheetViews>
    <sheetView workbookViewId="0">
      <selection activeCell="L27" sqref="L27"/>
    </sheetView>
  </sheetViews>
  <sheetFormatPr baseColWidth="10" defaultRowHeight="12" x14ac:dyDescent="0"/>
  <cols>
    <col min="6" max="6" width="12.5" bestFit="1" customWidth="1"/>
  </cols>
  <sheetData>
    <row r="3" spans="1:4" ht="18">
      <c r="A3" s="12" t="s">
        <v>146</v>
      </c>
      <c r="B3" s="12"/>
      <c r="C3" s="12"/>
      <c r="D3" s="4"/>
    </row>
    <row r="5" spans="1:4">
      <c r="A5" t="s">
        <v>389</v>
      </c>
    </row>
    <row r="7" spans="1:4">
      <c r="A7" t="s">
        <v>147</v>
      </c>
    </row>
    <row r="8" spans="1:4">
      <c r="A8" t="s">
        <v>148</v>
      </c>
      <c r="C8">
        <v>2960</v>
      </c>
    </row>
    <row r="9" spans="1:4">
      <c r="A9" t="s">
        <v>149</v>
      </c>
      <c r="C9">
        <v>500</v>
      </c>
    </row>
    <row r="10" spans="1:4">
      <c r="A10" t="s">
        <v>140</v>
      </c>
      <c r="C10">
        <v>195</v>
      </c>
      <c r="D10">
        <f>C10+459.69</f>
        <v>654.69000000000005</v>
      </c>
    </row>
    <row r="11" spans="1:4">
      <c r="A11" t="s">
        <v>150</v>
      </c>
      <c r="C11">
        <v>0.3</v>
      </c>
    </row>
    <row r="12" spans="1:4">
      <c r="A12" s="8" t="s">
        <v>151</v>
      </c>
      <c r="C12">
        <v>0.25</v>
      </c>
    </row>
    <row r="14" spans="1:4">
      <c r="A14" t="s">
        <v>152</v>
      </c>
    </row>
    <row r="15" spans="1:4">
      <c r="A15" t="s">
        <v>153</v>
      </c>
      <c r="C15">
        <v>947.5</v>
      </c>
    </row>
    <row r="16" spans="1:4">
      <c r="A16" t="s">
        <v>154</v>
      </c>
      <c r="C16">
        <v>114</v>
      </c>
    </row>
    <row r="17" spans="1:9">
      <c r="A17" t="s">
        <v>155</v>
      </c>
      <c r="C17">
        <v>0.755</v>
      </c>
    </row>
    <row r="19" spans="1:9">
      <c r="A19" t="s">
        <v>156</v>
      </c>
      <c r="C19" t="s">
        <v>95</v>
      </c>
      <c r="E19">
        <v>379.5</v>
      </c>
    </row>
    <row r="21" spans="1:9">
      <c r="A21" s="38" t="s">
        <v>157</v>
      </c>
      <c r="B21" s="38"/>
      <c r="C21" s="38"/>
      <c r="D21" s="38"/>
      <c r="E21" s="38" t="s">
        <v>163</v>
      </c>
      <c r="F21" s="38"/>
      <c r="G21" s="38"/>
      <c r="H21" s="38"/>
    </row>
    <row r="22" spans="1:9">
      <c r="A22" s="38" t="s">
        <v>158</v>
      </c>
      <c r="B22" s="38"/>
      <c r="C22" s="38"/>
      <c r="D22" s="38"/>
    </row>
    <row r="23" spans="1:9">
      <c r="A23" t="s">
        <v>87</v>
      </c>
      <c r="B23">
        <v>0.25</v>
      </c>
      <c r="E23" t="s">
        <v>159</v>
      </c>
      <c r="G23">
        <v>32.04</v>
      </c>
    </row>
    <row r="24" spans="1:9">
      <c r="A24" t="s">
        <v>88</v>
      </c>
      <c r="B24">
        <v>0.5</v>
      </c>
      <c r="E24" t="s">
        <v>160</v>
      </c>
      <c r="G24">
        <v>36.32</v>
      </c>
    </row>
    <row r="25" spans="1:9">
      <c r="A25" t="s">
        <v>60</v>
      </c>
      <c r="B25">
        <v>0.75</v>
      </c>
      <c r="E25" t="s">
        <v>161</v>
      </c>
      <c r="G25">
        <v>41.03</v>
      </c>
    </row>
    <row r="26" spans="1:9">
      <c r="A26" t="s">
        <v>61</v>
      </c>
      <c r="B26">
        <v>1</v>
      </c>
      <c r="E26" t="s">
        <v>162</v>
      </c>
      <c r="G26">
        <v>47.71</v>
      </c>
    </row>
    <row r="29" spans="1:9">
      <c r="A29" t="s">
        <v>377</v>
      </c>
    </row>
    <row r="32" spans="1:9">
      <c r="A32" s="50" t="s">
        <v>378</v>
      </c>
      <c r="B32" s="50"/>
      <c r="C32" s="50"/>
      <c r="D32" s="50"/>
      <c r="E32" s="50"/>
      <c r="F32" s="50"/>
      <c r="G32" s="50"/>
      <c r="H32" s="50"/>
      <c r="I32" s="50"/>
    </row>
    <row r="33" spans="1:9">
      <c r="A33" s="50" t="s">
        <v>164</v>
      </c>
      <c r="B33" s="50"/>
      <c r="C33" s="39"/>
      <c r="D33" s="39"/>
      <c r="E33" s="39"/>
      <c r="F33" s="39"/>
      <c r="G33" s="39"/>
      <c r="H33" s="39"/>
      <c r="I33" s="39"/>
    </row>
    <row r="35" spans="1:9">
      <c r="A35" t="s">
        <v>165</v>
      </c>
    </row>
    <row r="36" spans="1:9">
      <c r="A36" t="s">
        <v>379</v>
      </c>
    </row>
    <row r="38" spans="1:9">
      <c r="A38" s="43" t="s">
        <v>84</v>
      </c>
      <c r="B38" s="43" t="s">
        <v>55</v>
      </c>
      <c r="C38" s="43" t="s">
        <v>56</v>
      </c>
      <c r="D38" s="43" t="s">
        <v>57</v>
      </c>
      <c r="E38" s="43" t="s">
        <v>87</v>
      </c>
      <c r="F38" s="43" t="s">
        <v>88</v>
      </c>
      <c r="G38" s="43" t="s">
        <v>60</v>
      </c>
      <c r="H38" s="43" t="s">
        <v>61</v>
      </c>
    </row>
    <row r="39" spans="1:9">
      <c r="A39" s="22">
        <v>2960</v>
      </c>
      <c r="B39" s="22">
        <v>0.752</v>
      </c>
      <c r="C39" s="22">
        <v>7.6999999999999999E-2</v>
      </c>
      <c r="D39" s="22">
        <v>4.3999999999999997E-2</v>
      </c>
      <c r="E39" s="22">
        <v>3.1E-2</v>
      </c>
      <c r="F39" s="22">
        <v>2.1999999999999999E-2</v>
      </c>
      <c r="G39" s="22">
        <v>2.1999999999999999E-2</v>
      </c>
      <c r="H39" s="22">
        <v>5.1999999999999998E-2</v>
      </c>
    </row>
    <row r="40" spans="1:9">
      <c r="A40" s="22">
        <v>2500</v>
      </c>
      <c r="B40" s="22">
        <v>0.78300000000000003</v>
      </c>
      <c r="C40" s="22">
        <v>7.6999999999999999E-2</v>
      </c>
      <c r="D40" s="22">
        <v>4.2999999999999997E-2</v>
      </c>
      <c r="E40" s="22">
        <v>2.8000000000000001E-2</v>
      </c>
      <c r="F40" s="22">
        <v>1.9E-2</v>
      </c>
      <c r="G40" s="22">
        <v>1.6E-2</v>
      </c>
      <c r="H40" s="22">
        <v>3.4000000000000002E-2</v>
      </c>
    </row>
    <row r="42" spans="1:9">
      <c r="A42" t="s">
        <v>166</v>
      </c>
    </row>
    <row r="44" spans="1:9">
      <c r="A44" s="41" t="s">
        <v>84</v>
      </c>
      <c r="B44" s="42" t="s">
        <v>169</v>
      </c>
      <c r="C44" s="41" t="s">
        <v>167</v>
      </c>
      <c r="D44" s="41" t="s">
        <v>168</v>
      </c>
      <c r="E44" s="41" t="s">
        <v>26</v>
      </c>
    </row>
    <row r="45" spans="1:9">
      <c r="A45" s="22">
        <v>2960</v>
      </c>
      <c r="B45" s="22">
        <v>0</v>
      </c>
      <c r="C45" s="22">
        <v>0</v>
      </c>
      <c r="D45" s="22">
        <v>0</v>
      </c>
      <c r="E45" s="22">
        <v>0.77100000000000002</v>
      </c>
    </row>
    <row r="46" spans="1:9">
      <c r="A46" s="22">
        <v>2500</v>
      </c>
      <c r="B46" s="22">
        <v>175.3</v>
      </c>
      <c r="C46" s="22">
        <v>62.5</v>
      </c>
      <c r="D46" s="22">
        <v>6.6</v>
      </c>
      <c r="E46" s="22">
        <v>0.79400000000000004</v>
      </c>
    </row>
    <row r="48" spans="1:9">
      <c r="A48" t="s">
        <v>170</v>
      </c>
    </row>
    <row r="49" spans="1:11">
      <c r="A49" s="41">
        <v>1</v>
      </c>
      <c r="B49" s="41">
        <v>2</v>
      </c>
      <c r="C49" s="41">
        <v>3</v>
      </c>
      <c r="D49" s="41">
        <v>4</v>
      </c>
      <c r="E49" s="41">
        <v>5</v>
      </c>
      <c r="F49" s="41">
        <v>6</v>
      </c>
      <c r="G49" s="41">
        <v>7</v>
      </c>
      <c r="H49" s="41">
        <v>8</v>
      </c>
      <c r="I49" s="41">
        <v>9</v>
      </c>
      <c r="J49" s="41">
        <v>10</v>
      </c>
      <c r="K49" s="41">
        <v>11</v>
      </c>
    </row>
    <row r="50" spans="1:11">
      <c r="A50" s="41" t="s">
        <v>171</v>
      </c>
      <c r="B50" s="41" t="s">
        <v>175</v>
      </c>
      <c r="C50" s="42" t="s">
        <v>176</v>
      </c>
      <c r="D50" s="42" t="s">
        <v>177</v>
      </c>
      <c r="E50" s="42" t="s">
        <v>178</v>
      </c>
      <c r="F50" s="43" t="s">
        <v>179</v>
      </c>
      <c r="G50" s="42" t="s">
        <v>180</v>
      </c>
      <c r="H50" s="43" t="s">
        <v>173</v>
      </c>
      <c r="I50" s="43" t="s">
        <v>181</v>
      </c>
      <c r="J50" s="43" t="s">
        <v>182</v>
      </c>
      <c r="K50" s="43" t="s">
        <v>183</v>
      </c>
    </row>
    <row r="51" spans="1:11">
      <c r="A51" s="41" t="s">
        <v>25</v>
      </c>
      <c r="B51" s="41" t="s">
        <v>172</v>
      </c>
      <c r="C51" s="41" t="s">
        <v>172</v>
      </c>
      <c r="D51" s="41" t="s">
        <v>172</v>
      </c>
      <c r="E51" s="41" t="s">
        <v>172</v>
      </c>
      <c r="F51" s="41" t="s">
        <v>29</v>
      </c>
      <c r="G51" s="41" t="s">
        <v>29</v>
      </c>
      <c r="H51" s="41" t="s">
        <v>174</v>
      </c>
      <c r="I51" s="41" t="s">
        <v>388</v>
      </c>
      <c r="J51" s="41" t="s">
        <v>388</v>
      </c>
      <c r="K51" s="41" t="s">
        <v>388</v>
      </c>
    </row>
    <row r="52" spans="1:11">
      <c r="A52" s="22">
        <v>2690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10600</v>
      </c>
      <c r="I52" s="22">
        <v>0</v>
      </c>
      <c r="J52" s="22">
        <v>0</v>
      </c>
      <c r="K52" s="22">
        <v>0</v>
      </c>
    </row>
    <row r="53" spans="1:11">
      <c r="A53" s="22">
        <v>2500</v>
      </c>
      <c r="B53" s="22">
        <v>240.1</v>
      </c>
      <c r="C53" s="22">
        <v>241.1</v>
      </c>
      <c r="D53" s="22">
        <v>225.1</v>
      </c>
      <c r="E53" s="22">
        <v>225.1</v>
      </c>
      <c r="F53" s="22">
        <v>15.3</v>
      </c>
      <c r="G53" s="22">
        <v>15.3</v>
      </c>
      <c r="H53" s="22">
        <v>14700</v>
      </c>
      <c r="I53" s="22">
        <v>15.2</v>
      </c>
      <c r="J53" s="22">
        <v>15.6</v>
      </c>
      <c r="K53" s="22">
        <v>10.7</v>
      </c>
    </row>
    <row r="56" spans="1:11" ht="18">
      <c r="A56" s="28" t="s">
        <v>22</v>
      </c>
      <c r="B56" s="28"/>
    </row>
    <row r="58" spans="1:11">
      <c r="A58" s="40" t="s">
        <v>195</v>
      </c>
      <c r="B58" s="40"/>
      <c r="C58" s="40" t="s">
        <v>164</v>
      </c>
      <c r="D58" s="40"/>
    </row>
    <row r="60" spans="1:11" ht="15">
      <c r="B60" s="5" t="s">
        <v>143</v>
      </c>
      <c r="F60" t="s">
        <v>185</v>
      </c>
      <c r="H60">
        <f>43560*C12*(1-C11)</f>
        <v>7622.9999999999991</v>
      </c>
    </row>
    <row r="61" spans="1:11" ht="15">
      <c r="B61" s="44"/>
    </row>
    <row r="62" spans="1:11" ht="15">
      <c r="B62" s="44"/>
      <c r="E62" s="29">
        <f>(E65*E72)/E68</f>
        <v>239852.10390944823</v>
      </c>
      <c r="F62" s="29" t="s">
        <v>186</v>
      </c>
      <c r="G62" s="29" t="s">
        <v>187</v>
      </c>
      <c r="H62" s="29"/>
    </row>
    <row r="63" spans="1:11">
      <c r="E63" s="33"/>
      <c r="F63" s="33"/>
    </row>
    <row r="64" spans="1:11" ht="15">
      <c r="B64" s="44"/>
      <c r="E64" s="33"/>
      <c r="F64" s="33"/>
    </row>
    <row r="65" spans="1:7">
      <c r="E65" s="33">
        <f>(C8*H60*E19)/(E45*10.732*D10)</f>
        <v>1580733.515894721</v>
      </c>
      <c r="F65" s="33" t="s">
        <v>186</v>
      </c>
    </row>
    <row r="66" spans="1:7" ht="15">
      <c r="B66" s="44"/>
      <c r="E66" s="33"/>
      <c r="F66" s="33"/>
    </row>
    <row r="67" spans="1:7" ht="15">
      <c r="B67" s="44"/>
      <c r="E67" s="33"/>
      <c r="F67" s="33"/>
    </row>
    <row r="68" spans="1:7">
      <c r="E68" s="33">
        <f>(C8*C15*E19)/(E45*10.732*D10*28600)</f>
        <v>6.8698290062107246</v>
      </c>
      <c r="F68" s="33" t="s">
        <v>186</v>
      </c>
    </row>
    <row r="69" spans="1:7" ht="15">
      <c r="B69" s="5"/>
      <c r="E69" s="33"/>
      <c r="F69" s="33"/>
    </row>
    <row r="70" spans="1:7" ht="15">
      <c r="B70" s="5" t="s">
        <v>184</v>
      </c>
      <c r="E70" s="33"/>
      <c r="F70" s="33"/>
    </row>
    <row r="71" spans="1:7">
      <c r="E71" s="33"/>
      <c r="F71" s="33"/>
    </row>
    <row r="72" spans="1:7">
      <c r="E72" s="33">
        <f>(A46*B46*E19)/(E46*10.732*D10*28600)</f>
        <v>1.0423913481110361</v>
      </c>
      <c r="F72" s="33" t="s">
        <v>186</v>
      </c>
    </row>
    <row r="75" spans="1:7">
      <c r="A75" s="39" t="s">
        <v>381</v>
      </c>
      <c r="B75" s="39"/>
      <c r="C75" s="39"/>
      <c r="D75" s="39"/>
      <c r="E75" s="39"/>
      <c r="F75" s="39"/>
      <c r="G75" s="39"/>
    </row>
    <row r="77" spans="1:7">
      <c r="A77" s="40" t="s">
        <v>380</v>
      </c>
      <c r="B77" s="40"/>
      <c r="C77" s="40"/>
      <c r="D77" s="40"/>
      <c r="E77" s="40"/>
      <c r="F77" s="40"/>
    </row>
    <row r="79" spans="1:7" ht="15">
      <c r="B79" s="5" t="s">
        <v>132</v>
      </c>
    </row>
    <row r="80" spans="1:7" ht="15">
      <c r="B80" s="5"/>
    </row>
    <row r="81" spans="1:10" ht="15">
      <c r="B81" s="5" t="s">
        <v>188</v>
      </c>
    </row>
    <row r="82" spans="1:10" ht="15">
      <c r="B82" s="5"/>
    </row>
    <row r="83" spans="1:10" ht="17">
      <c r="B83" s="5" t="s">
        <v>189</v>
      </c>
      <c r="G83">
        <f>B23*E40+B24*F40+B25*G40+B26*H40</f>
        <v>6.25E-2</v>
      </c>
    </row>
    <row r="84" spans="1:10" ht="15">
      <c r="B84" s="5"/>
    </row>
    <row r="85" spans="1:10" ht="15">
      <c r="B85" s="5" t="s">
        <v>190</v>
      </c>
    </row>
    <row r="86" spans="1:10" ht="15">
      <c r="B86" s="5"/>
    </row>
    <row r="87" spans="1:10" ht="17">
      <c r="B87" s="5" t="s">
        <v>191</v>
      </c>
      <c r="G87">
        <f>G83*E62</f>
        <v>14990.756494340514</v>
      </c>
      <c r="H87" t="s">
        <v>186</v>
      </c>
    </row>
    <row r="88" spans="1:10" ht="15">
      <c r="B88" s="5"/>
    </row>
    <row r="89" spans="1:10" ht="15">
      <c r="B89" s="5" t="s">
        <v>192</v>
      </c>
    </row>
    <row r="90" spans="1:10" ht="15">
      <c r="B90" s="5"/>
    </row>
    <row r="91" spans="1:10" ht="17">
      <c r="B91" s="5" t="s">
        <v>193</v>
      </c>
      <c r="G91" s="29">
        <f>E62-G87</f>
        <v>224861.34741510771</v>
      </c>
      <c r="H91" s="29" t="s">
        <v>186</v>
      </c>
      <c r="I91" s="29" t="s">
        <v>194</v>
      </c>
      <c r="J91" s="29"/>
    </row>
    <row r="94" spans="1:10">
      <c r="A94" s="39" t="s">
        <v>382</v>
      </c>
      <c r="B94" s="39"/>
      <c r="C94" s="39"/>
      <c r="D94" s="39"/>
      <c r="E94" s="39"/>
      <c r="F94" s="39"/>
      <c r="G94" s="39"/>
    </row>
    <row r="96" spans="1:10">
      <c r="A96" s="40" t="s">
        <v>207</v>
      </c>
      <c r="B96" s="40"/>
      <c r="C96" s="40"/>
      <c r="D96" s="40"/>
    </row>
    <row r="98" spans="1:7" ht="15">
      <c r="B98" s="5" t="s">
        <v>196</v>
      </c>
    </row>
    <row r="99" spans="1:7" ht="15">
      <c r="B99" s="5"/>
    </row>
    <row r="100" spans="1:7" ht="15">
      <c r="B100" s="5" t="s">
        <v>197</v>
      </c>
    </row>
    <row r="101" spans="1:7" ht="15">
      <c r="B101" s="5"/>
    </row>
    <row r="102" spans="1:7" ht="17">
      <c r="B102" s="5" t="s">
        <v>198</v>
      </c>
    </row>
    <row r="104" spans="1:7">
      <c r="B104" t="s">
        <v>199</v>
      </c>
      <c r="C104">
        <f>(B23*E40*E62*G23)/1000</f>
        <v>53.794029864811044</v>
      </c>
    </row>
    <row r="105" spans="1:7" ht="15">
      <c r="B105" s="5" t="s">
        <v>200</v>
      </c>
      <c r="C105">
        <f>(B24*F40*E62*G24)/1000</f>
        <v>82.758569932916018</v>
      </c>
    </row>
    <row r="106" spans="1:7" ht="15">
      <c r="B106" s="5" t="s">
        <v>201</v>
      </c>
      <c r="C106">
        <f>(B25*G40*E62*G25)/1000</f>
        <v>118.09358188085592</v>
      </c>
    </row>
    <row r="107" spans="1:7" ht="15">
      <c r="B107" s="5" t="s">
        <v>202</v>
      </c>
      <c r="C107">
        <f>(B26*H40*E62*G26)/1000</f>
        <v>389.07369183567238</v>
      </c>
    </row>
    <row r="108" spans="1:7" ht="15">
      <c r="B108" s="5" t="s">
        <v>62</v>
      </c>
      <c r="C108">
        <f>SUM(C104:C107)</f>
        <v>643.71987351425537</v>
      </c>
      <c r="D108" t="s">
        <v>203</v>
      </c>
      <c r="E108" s="45" t="s">
        <v>206</v>
      </c>
      <c r="F108" s="46">
        <f>C108/42.117</f>
        <v>15.284086556835849</v>
      </c>
      <c r="G108" s="47" t="s">
        <v>204</v>
      </c>
    </row>
    <row r="109" spans="1:7" ht="15">
      <c r="B109" s="5" t="s">
        <v>205</v>
      </c>
    </row>
    <row r="111" spans="1:7">
      <c r="A111" s="39" t="s">
        <v>383</v>
      </c>
    </row>
    <row r="113" spans="1:6">
      <c r="A113" s="39" t="s">
        <v>384</v>
      </c>
      <c r="B113" s="39"/>
      <c r="C113" s="39"/>
      <c r="D113" s="39"/>
      <c r="E113" s="39"/>
    </row>
    <row r="115" spans="1:6" ht="15">
      <c r="B115" s="5" t="s">
        <v>208</v>
      </c>
    </row>
    <row r="116" spans="1:6" ht="15">
      <c r="B116" s="5"/>
    </row>
    <row r="118" spans="1:6" ht="15">
      <c r="B118" s="5"/>
    </row>
    <row r="119" spans="1:6" ht="15">
      <c r="B119" s="5" t="s">
        <v>209</v>
      </c>
    </row>
    <row r="121" spans="1:6">
      <c r="B121" t="s">
        <v>199</v>
      </c>
      <c r="C121">
        <f>(B23*E39*E65*G23)/1000</f>
        <v>392.51193933181821</v>
      </c>
    </row>
    <row r="122" spans="1:6">
      <c r="B122" t="s">
        <v>210</v>
      </c>
      <c r="C122">
        <f>(B24*F39*E65*G24)/1000</f>
        <v>631.53465427025901</v>
      </c>
    </row>
    <row r="123" spans="1:6">
      <c r="B123" t="s">
        <v>201</v>
      </c>
      <c r="C123">
        <f>(B25*G39*E65*G25)/1000</f>
        <v>1070.1486865931467</v>
      </c>
    </row>
    <row r="124" spans="1:6">
      <c r="B124" t="s">
        <v>202</v>
      </c>
      <c r="C124">
        <f>(B26*H39*E65*G26)/1000</f>
        <v>3921.6733942535316</v>
      </c>
    </row>
    <row r="125" spans="1:6">
      <c r="B125" t="s">
        <v>62</v>
      </c>
      <c r="C125">
        <f>SUM(C121:C124)</f>
        <v>6015.868674448755</v>
      </c>
      <c r="D125" t="s">
        <v>211</v>
      </c>
      <c r="E125" s="16" t="s">
        <v>145</v>
      </c>
      <c r="F125" s="35">
        <f>C125/42.117</f>
        <v>142.83706518623728</v>
      </c>
    </row>
    <row r="127" spans="1:6">
      <c r="E127" s="16" t="s">
        <v>212</v>
      </c>
      <c r="F127" s="16">
        <f>E65-(B23*E39+B24*F39+B25*G39+B26*H39)*E65</f>
        <v>1442814.5166329066</v>
      </c>
    </row>
    <row r="129" spans="1:7">
      <c r="E129" s="29" t="s">
        <v>214</v>
      </c>
      <c r="F129" s="36">
        <f>F127/F125</f>
        <v>10101.121265350148</v>
      </c>
      <c r="G129" s="29" t="s">
        <v>34</v>
      </c>
    </row>
    <row r="131" spans="1:7">
      <c r="B131" t="s">
        <v>213</v>
      </c>
      <c r="E131" s="29" t="s">
        <v>215</v>
      </c>
      <c r="F131" s="36">
        <f>G91/F108</f>
        <v>14712.12208717425</v>
      </c>
      <c r="G131" s="29" t="s">
        <v>34</v>
      </c>
    </row>
    <row r="134" spans="1:7">
      <c r="A134" s="40" t="s">
        <v>385</v>
      </c>
      <c r="B134" s="40"/>
      <c r="C134" s="40"/>
      <c r="D134" s="40"/>
      <c r="E134" s="40"/>
      <c r="F134" s="40"/>
      <c r="G134" s="40"/>
    </row>
    <row r="136" spans="1:7">
      <c r="B136" t="s">
        <v>216</v>
      </c>
    </row>
    <row r="138" spans="1:7">
      <c r="B138" s="47" t="s">
        <v>217</v>
      </c>
      <c r="C138" s="46">
        <f>(100*E62)/E65</f>
        <v>15.17346861426469</v>
      </c>
    </row>
    <row r="140" spans="1:7">
      <c r="A140" s="40" t="s">
        <v>386</v>
      </c>
      <c r="B140" s="40"/>
      <c r="C140" s="40"/>
      <c r="D140" s="40"/>
      <c r="E140" s="40"/>
      <c r="F140" s="40"/>
    </row>
    <row r="142" spans="1:7">
      <c r="B142" t="s">
        <v>216</v>
      </c>
    </row>
    <row r="144" spans="1:7">
      <c r="B144" s="47" t="s">
        <v>218</v>
      </c>
      <c r="C144" s="46">
        <f>(100*G91)/F127</f>
        <v>15.584910244725441</v>
      </c>
    </row>
    <row r="146" spans="1:6">
      <c r="A146" s="40" t="s">
        <v>387</v>
      </c>
      <c r="B146" s="40"/>
      <c r="C146" s="40"/>
      <c r="D146" s="40"/>
      <c r="E146" s="40"/>
      <c r="F146" s="40"/>
    </row>
    <row r="148" spans="1:6">
      <c r="B148" t="s">
        <v>219</v>
      </c>
    </row>
    <row r="150" spans="1:6">
      <c r="B150" s="47" t="s">
        <v>220</v>
      </c>
      <c r="C150" s="46">
        <f>(100*F108)/F125</f>
        <v>10.700364458558274</v>
      </c>
    </row>
  </sheetData>
  <phoneticPr fontId="0" type="noConversion"/>
  <pageMargins left="0.78740157499999996" right="0.78740157499999996" top="0.984251969" bottom="0.984251969" header="0.5" footer="0.5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4100" r:id="rId3">
          <objectPr defaultSize="0" autoPict="0" r:id="rId4">
            <anchor moveWithCells="1" sizeWithCells="1">
              <from>
                <xdr:col>0</xdr:col>
                <xdr:colOff>749300</xdr:colOff>
                <xdr:row>60</xdr:row>
                <xdr:rowOff>139700</xdr:rowOff>
              </from>
              <to>
                <xdr:col>3</xdr:col>
                <xdr:colOff>254000</xdr:colOff>
                <xdr:row>63</xdr:row>
                <xdr:rowOff>25400</xdr:rowOff>
              </to>
            </anchor>
          </objectPr>
        </oleObject>
      </mc:Choice>
      <mc:Fallback>
        <oleObject progId="Equation.3" shapeId="4100" r:id="rId3"/>
      </mc:Fallback>
    </mc:AlternateContent>
    <mc:AlternateContent xmlns:mc="http://schemas.openxmlformats.org/markup-compatibility/2006">
      <mc:Choice Requires="x14">
        <oleObject progId="Equation.3" shapeId="4099" r:id="rId5">
          <objectPr defaultSize="0" autoPict="0" r:id="rId6">
            <anchor moveWithCells="1" sizeWithCells="1">
              <from>
                <xdr:col>1</xdr:col>
                <xdr:colOff>25400</xdr:colOff>
                <xdr:row>63</xdr:row>
                <xdr:rowOff>101600</xdr:rowOff>
              </from>
              <to>
                <xdr:col>2</xdr:col>
                <xdr:colOff>749300</xdr:colOff>
                <xdr:row>65</xdr:row>
                <xdr:rowOff>177800</xdr:rowOff>
              </to>
            </anchor>
          </objectPr>
        </oleObject>
      </mc:Choice>
      <mc:Fallback>
        <oleObject progId="Equation.3" shapeId="4099" r:id="rId5"/>
      </mc:Fallback>
    </mc:AlternateContent>
    <mc:AlternateContent xmlns:mc="http://schemas.openxmlformats.org/markup-compatibility/2006">
      <mc:Choice Requires="x14">
        <oleObject progId="Equation.3" shapeId="4098" r:id="rId7">
          <objectPr defaultSize="0" autoPict="0" r:id="rId8">
            <anchor moveWithCells="1" sizeWithCells="1">
              <from>
                <xdr:col>1</xdr:col>
                <xdr:colOff>25400</xdr:colOff>
                <xdr:row>66</xdr:row>
                <xdr:rowOff>101600</xdr:rowOff>
              </from>
              <to>
                <xdr:col>2</xdr:col>
                <xdr:colOff>635000</xdr:colOff>
                <xdr:row>68</xdr:row>
                <xdr:rowOff>190500</xdr:rowOff>
              </to>
            </anchor>
          </objectPr>
        </oleObject>
      </mc:Choice>
      <mc:Fallback>
        <oleObject progId="Equation.3" shapeId="4098" r:id="rId7"/>
      </mc:Fallback>
    </mc:AlternateContent>
    <mc:AlternateContent xmlns:mc="http://schemas.openxmlformats.org/markup-compatibility/2006">
      <mc:Choice Requires="x14">
        <oleObject progId="Equation.3" shapeId="4097" r:id="rId9">
          <objectPr defaultSize="0" autoPict="0" r:id="rId10">
            <anchor moveWithCells="1" sizeWithCells="1">
              <from>
                <xdr:col>1</xdr:col>
                <xdr:colOff>0</xdr:colOff>
                <xdr:row>70</xdr:row>
                <xdr:rowOff>0</xdr:rowOff>
              </from>
              <to>
                <xdr:col>2</xdr:col>
                <xdr:colOff>457200</xdr:colOff>
                <xdr:row>72</xdr:row>
                <xdr:rowOff>127000</xdr:rowOff>
              </to>
            </anchor>
          </objectPr>
        </oleObject>
      </mc:Choice>
      <mc:Fallback>
        <oleObject progId="Equation.3" shapeId="4097" r:id="rId9"/>
      </mc:Fallback>
    </mc:AlternateContent>
    <mc:AlternateContent xmlns:mc="http://schemas.openxmlformats.org/markup-compatibility/2006">
      <mc:Choice Requires="x14">
        <oleObject progId="Equation.3" shapeId="4101" r:id="rId11">
          <objectPr defaultSize="0" autoPict="0" r:id="rId12">
            <anchor moveWithCells="1" sizeWithCells="1">
              <from>
                <xdr:col>1</xdr:col>
                <xdr:colOff>0</xdr:colOff>
                <xdr:row>116</xdr:row>
                <xdr:rowOff>0</xdr:rowOff>
              </from>
              <to>
                <xdr:col>2</xdr:col>
                <xdr:colOff>533400</xdr:colOff>
                <xdr:row>118</xdr:row>
                <xdr:rowOff>63500</xdr:rowOff>
              </to>
            </anchor>
          </objectPr>
        </oleObject>
      </mc:Choice>
      <mc:Fallback>
        <oleObject progId="Equation.3" shapeId="4101" r:id="rId11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105"/>
  <sheetViews>
    <sheetView workbookViewId="0">
      <selection activeCell="B59" sqref="B59"/>
    </sheetView>
  </sheetViews>
  <sheetFormatPr baseColWidth="10" defaultRowHeight="12" x14ac:dyDescent="0"/>
  <cols>
    <col min="7" max="7" width="11.5" bestFit="1" customWidth="1"/>
  </cols>
  <sheetData>
    <row r="3" spans="1:3" ht="18">
      <c r="A3" s="12" t="s">
        <v>221</v>
      </c>
      <c r="B3" s="12"/>
      <c r="C3" s="12"/>
    </row>
    <row r="5" spans="1:3">
      <c r="A5" t="s">
        <v>222</v>
      </c>
    </row>
    <row r="7" spans="1:3">
      <c r="A7" t="s">
        <v>148</v>
      </c>
      <c r="C7">
        <v>4000</v>
      </c>
    </row>
    <row r="8" spans="1:3">
      <c r="A8" t="s">
        <v>140</v>
      </c>
      <c r="C8">
        <v>186</v>
      </c>
    </row>
    <row r="9" spans="1:3">
      <c r="A9" t="s">
        <v>141</v>
      </c>
      <c r="C9">
        <v>300</v>
      </c>
    </row>
    <row r="10" spans="1:3">
      <c r="A10" t="s">
        <v>142</v>
      </c>
      <c r="C10">
        <v>70</v>
      </c>
    </row>
    <row r="12" spans="1:3">
      <c r="A12" t="s">
        <v>223</v>
      </c>
    </row>
    <row r="13" spans="1:3">
      <c r="A13" t="s">
        <v>390</v>
      </c>
    </row>
    <row r="15" spans="1:3" ht="17">
      <c r="A15" s="1" t="s">
        <v>16</v>
      </c>
    </row>
    <row r="16" spans="1:3">
      <c r="A16" t="s">
        <v>233</v>
      </c>
    </row>
    <row r="17" spans="1:9">
      <c r="A17" t="s">
        <v>234</v>
      </c>
    </row>
    <row r="19" spans="1:9" ht="13">
      <c r="A19" s="51" t="s">
        <v>232</v>
      </c>
      <c r="B19" s="51"/>
      <c r="C19" s="51"/>
      <c r="D19" s="51"/>
      <c r="E19" s="51"/>
      <c r="F19" s="52"/>
    </row>
    <row r="21" spans="1:9">
      <c r="A21" s="16"/>
      <c r="B21" s="16"/>
      <c r="C21" s="16"/>
    </row>
    <row r="23" spans="1:9" ht="15">
      <c r="B23" s="44"/>
    </row>
    <row r="24" spans="1:9" ht="15">
      <c r="B24" s="44"/>
      <c r="E24" s="32">
        <f>E27*E39</f>
        <v>53732.523625700407</v>
      </c>
      <c r="G24" s="16" t="s">
        <v>225</v>
      </c>
      <c r="H24" s="16"/>
    </row>
    <row r="25" spans="1:9">
      <c r="G25" s="8" t="s">
        <v>226</v>
      </c>
      <c r="H25">
        <v>224</v>
      </c>
    </row>
    <row r="26" spans="1:9" ht="15">
      <c r="B26" s="44"/>
      <c r="G26" t="s">
        <v>227</v>
      </c>
      <c r="H26">
        <v>0.86699999999999999</v>
      </c>
    </row>
    <row r="27" spans="1:9">
      <c r="E27" s="32">
        <v>1000000</v>
      </c>
      <c r="F27" t="s">
        <v>186</v>
      </c>
      <c r="G27" t="s">
        <v>228</v>
      </c>
      <c r="H27">
        <v>3500</v>
      </c>
    </row>
    <row r="28" spans="1:9" ht="15">
      <c r="B28" s="44"/>
      <c r="G28" t="s">
        <v>229</v>
      </c>
      <c r="H28">
        <v>3958.14</v>
      </c>
    </row>
    <row r="29" spans="1:9" ht="15">
      <c r="B29" s="44"/>
      <c r="G29" t="s">
        <v>230</v>
      </c>
      <c r="H29">
        <v>0.79900000000000004</v>
      </c>
    </row>
    <row r="30" spans="1:9">
      <c r="G30" t="s">
        <v>231</v>
      </c>
      <c r="H30">
        <v>4000</v>
      </c>
    </row>
    <row r="31" spans="1:9" ht="15">
      <c r="B31" s="5"/>
    </row>
    <row r="32" spans="1:9" ht="15">
      <c r="B32" s="5" t="s">
        <v>184</v>
      </c>
      <c r="G32" s="47" t="s">
        <v>235</v>
      </c>
      <c r="H32" s="48"/>
      <c r="I32" s="34">
        <f>E24</f>
        <v>53732.523625700407</v>
      </c>
    </row>
    <row r="34" spans="1:9">
      <c r="G34" t="s">
        <v>236</v>
      </c>
      <c r="I34">
        <v>4.5780000000000003</v>
      </c>
    </row>
    <row r="36" spans="1:9">
      <c r="G36" s="47" t="s">
        <v>237</v>
      </c>
      <c r="H36" s="47"/>
      <c r="I36" s="49">
        <f>(I32*I34)/(1000*42.117)</f>
        <v>5.8405749022593367</v>
      </c>
    </row>
    <row r="37" spans="1:9" ht="15">
      <c r="B37" s="5" t="s">
        <v>224</v>
      </c>
    </row>
    <row r="38" spans="1:9" ht="15">
      <c r="B38" s="5"/>
      <c r="G38" t="s">
        <v>238</v>
      </c>
      <c r="I38">
        <v>8283</v>
      </c>
    </row>
    <row r="39" spans="1:9">
      <c r="E39">
        <f>(H25*H26*H27)/(H28*H29*H30)</f>
        <v>5.3732523625700405E-2</v>
      </c>
    </row>
    <row r="40" spans="1:9">
      <c r="G40" s="47" t="s">
        <v>239</v>
      </c>
      <c r="H40" s="47"/>
      <c r="I40" s="45">
        <f>I38*I36</f>
        <v>48377.481915414086</v>
      </c>
    </row>
    <row r="42" spans="1:9">
      <c r="G42" t="s">
        <v>242</v>
      </c>
    </row>
    <row r="43" spans="1:9" ht="17">
      <c r="A43" s="1" t="s">
        <v>17</v>
      </c>
    </row>
    <row r="44" spans="1:9">
      <c r="A44" t="s">
        <v>240</v>
      </c>
    </row>
    <row r="46" spans="1:9">
      <c r="B46" s="16" t="s">
        <v>225</v>
      </c>
    </row>
    <row r="47" spans="1:9">
      <c r="B47" t="s">
        <v>236</v>
      </c>
      <c r="D47">
        <v>5.2539999999999996</v>
      </c>
    </row>
    <row r="48" spans="1:9">
      <c r="B48" t="s">
        <v>241</v>
      </c>
      <c r="D48">
        <v>7127</v>
      </c>
    </row>
    <row r="50" spans="1:3">
      <c r="B50" s="29" t="s">
        <v>145</v>
      </c>
      <c r="C50" s="37">
        <f>(E27*D47)/(1000*42.117)</f>
        <v>124.74772657121828</v>
      </c>
    </row>
    <row r="52" spans="1:3">
      <c r="B52" s="29" t="s">
        <v>144</v>
      </c>
      <c r="C52" s="36">
        <f>D48*C50</f>
        <v>889077.04727307265</v>
      </c>
    </row>
    <row r="55" spans="1:3" ht="17">
      <c r="A55" s="1" t="s">
        <v>19</v>
      </c>
    </row>
    <row r="56" spans="1:3">
      <c r="A56" t="s">
        <v>391</v>
      </c>
    </row>
    <row r="58" spans="1:3">
      <c r="B58" t="s">
        <v>392</v>
      </c>
    </row>
    <row r="59" spans="1:3">
      <c r="B59" t="s">
        <v>243</v>
      </c>
    </row>
    <row r="62" spans="1:3" ht="17">
      <c r="A62" s="1" t="s">
        <v>33</v>
      </c>
    </row>
    <row r="63" spans="1:3">
      <c r="A63" t="s">
        <v>244</v>
      </c>
    </row>
    <row r="65" spans="1:11">
      <c r="B65" t="s">
        <v>139</v>
      </c>
    </row>
    <row r="66" spans="1:11">
      <c r="B66" s="8" t="s">
        <v>151</v>
      </c>
      <c r="C66">
        <v>0.1</v>
      </c>
    </row>
    <row r="67" spans="1:11">
      <c r="B67" t="s">
        <v>150</v>
      </c>
      <c r="C67">
        <v>0.2</v>
      </c>
    </row>
    <row r="69" spans="1:11">
      <c r="B69" t="s">
        <v>245</v>
      </c>
      <c r="C69">
        <f>43560*C66*(1-C67)</f>
        <v>3484.8</v>
      </c>
    </row>
    <row r="71" spans="1:11">
      <c r="B71" t="s">
        <v>246</v>
      </c>
    </row>
    <row r="72" spans="1:11">
      <c r="B72" t="s">
        <v>247</v>
      </c>
      <c r="D72" s="6">
        <f>(C7*C69*379.51)/(H26*10.732*(C8+459.69))</f>
        <v>880515.99888841144</v>
      </c>
    </row>
    <row r="74" spans="1:11">
      <c r="B74" t="s">
        <v>248</v>
      </c>
      <c r="H74">
        <f>D72/1000000</f>
        <v>0.88051599888841148</v>
      </c>
    </row>
    <row r="76" spans="1:11">
      <c r="B76" s="29" t="s">
        <v>249</v>
      </c>
      <c r="C76" s="33"/>
      <c r="D76" s="33"/>
      <c r="E76" s="33"/>
      <c r="F76" s="33"/>
      <c r="G76" s="33"/>
      <c r="H76" s="33"/>
      <c r="I76" s="33"/>
      <c r="J76" s="33"/>
      <c r="K76" s="33"/>
    </row>
    <row r="79" spans="1:11" ht="17">
      <c r="A79" s="1" t="s">
        <v>250</v>
      </c>
    </row>
    <row r="80" spans="1:11">
      <c r="A80" t="s">
        <v>251</v>
      </c>
    </row>
    <row r="82" spans="1:7">
      <c r="B82" t="s">
        <v>252</v>
      </c>
    </row>
    <row r="83" spans="1:7">
      <c r="B83" t="s">
        <v>253</v>
      </c>
    </row>
    <row r="84" spans="1:7">
      <c r="B84" t="s">
        <v>254</v>
      </c>
    </row>
    <row r="85" spans="1:7">
      <c r="B85" t="s">
        <v>255</v>
      </c>
    </row>
    <row r="87" spans="1:7" ht="17">
      <c r="A87" s="1" t="s">
        <v>256</v>
      </c>
    </row>
    <row r="88" spans="1:7">
      <c r="A88" t="s">
        <v>257</v>
      </c>
    </row>
    <row r="89" spans="1:7">
      <c r="B89" t="s">
        <v>261</v>
      </c>
    </row>
    <row r="91" spans="1:7" ht="15">
      <c r="B91" s="5" t="s">
        <v>132</v>
      </c>
    </row>
    <row r="92" spans="1:7" ht="15">
      <c r="B92" s="5"/>
    </row>
    <row r="93" spans="1:7" ht="15">
      <c r="B93" s="5" t="s">
        <v>258</v>
      </c>
      <c r="F93" t="s">
        <v>260</v>
      </c>
      <c r="G93">
        <v>5713</v>
      </c>
    </row>
    <row r="94" spans="1:7" ht="15">
      <c r="B94" s="5"/>
      <c r="F94" t="s">
        <v>262</v>
      </c>
      <c r="G94">
        <v>1.107</v>
      </c>
    </row>
    <row r="96" spans="1:7" ht="15">
      <c r="B96" s="5"/>
    </row>
    <row r="97" spans="2:7" ht="15">
      <c r="B97" s="5" t="s">
        <v>259</v>
      </c>
    </row>
    <row r="98" spans="2:7" ht="15">
      <c r="B98" s="5"/>
    </row>
    <row r="100" spans="2:7" ht="15">
      <c r="B100" s="5"/>
      <c r="F100" t="s">
        <v>263</v>
      </c>
      <c r="G100">
        <f>((G93/G94)-(C7/H26))*C69/(10.732*(C8+459.69))</f>
        <v>275.17384458130732</v>
      </c>
    </row>
    <row r="101" spans="2:7">
      <c r="F101" s="53" t="s">
        <v>264</v>
      </c>
      <c r="G101" s="54">
        <f>G100*379.51</f>
        <v>104431.22575705194</v>
      </c>
    </row>
    <row r="102" spans="2:7" ht="15">
      <c r="B102" s="5"/>
      <c r="F102" s="40"/>
      <c r="G102" s="40"/>
    </row>
    <row r="103" spans="2:7">
      <c r="F103" s="53" t="s">
        <v>265</v>
      </c>
      <c r="G103" s="45">
        <f>5.254*G101*0.001/42</f>
        <v>13.063849050655971</v>
      </c>
    </row>
    <row r="104" spans="2:7" ht="15">
      <c r="B104" s="5"/>
      <c r="F104" s="40"/>
      <c r="G104" s="40"/>
    </row>
    <row r="105" spans="2:7">
      <c r="F105" s="53" t="s">
        <v>266</v>
      </c>
      <c r="G105" s="54">
        <f>7127*G103</f>
        <v>93106.052184025102</v>
      </c>
    </row>
  </sheetData>
  <phoneticPr fontId="0" type="noConversion"/>
  <pageMargins left="0.78740157499999996" right="0.78740157499999996" top="0.984251969" bottom="0.984251969" header="0.5" footer="0.5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5121" r:id="rId3">
          <objectPr defaultSize="0" autoPict="0" r:id="rId4">
            <anchor moveWithCells="1" sizeWithCells="1">
              <from>
                <xdr:col>0</xdr:col>
                <xdr:colOff>749300</xdr:colOff>
                <xdr:row>22</xdr:row>
                <xdr:rowOff>63500</xdr:rowOff>
              </from>
              <to>
                <xdr:col>3</xdr:col>
                <xdr:colOff>254000</xdr:colOff>
                <xdr:row>24</xdr:row>
                <xdr:rowOff>101600</xdr:rowOff>
              </to>
            </anchor>
          </objectPr>
        </oleObject>
      </mc:Choice>
      <mc:Fallback>
        <oleObject progId="Equation.3" shapeId="5121" r:id="rId3"/>
      </mc:Fallback>
    </mc:AlternateContent>
    <mc:AlternateContent xmlns:mc="http://schemas.openxmlformats.org/markup-compatibility/2006">
      <mc:Choice Requires="x14">
        <oleObject progId="Equation.3" shapeId="5122" r:id="rId5">
          <objectPr defaultSize="0" autoPict="0" r:id="rId6">
            <anchor moveWithCells="1" sizeWithCells="1">
              <from>
                <xdr:col>1</xdr:col>
                <xdr:colOff>25400</xdr:colOff>
                <xdr:row>25</xdr:row>
                <xdr:rowOff>101600</xdr:rowOff>
              </from>
              <to>
                <xdr:col>2</xdr:col>
                <xdr:colOff>749300</xdr:colOff>
                <xdr:row>27</xdr:row>
                <xdr:rowOff>177800</xdr:rowOff>
              </to>
            </anchor>
          </objectPr>
        </oleObject>
      </mc:Choice>
      <mc:Fallback>
        <oleObject progId="Equation.3" shapeId="5122" r:id="rId5"/>
      </mc:Fallback>
    </mc:AlternateContent>
    <mc:AlternateContent xmlns:mc="http://schemas.openxmlformats.org/markup-compatibility/2006">
      <mc:Choice Requires="x14">
        <oleObject progId="Equation.3" shapeId="5123" r:id="rId7">
          <objectPr defaultSize="0" autoPict="0" r:id="rId8">
            <anchor moveWithCells="1" sizeWithCells="1">
              <from>
                <xdr:col>1</xdr:col>
                <xdr:colOff>25400</xdr:colOff>
                <xdr:row>28</xdr:row>
                <xdr:rowOff>101600</xdr:rowOff>
              </from>
              <to>
                <xdr:col>2</xdr:col>
                <xdr:colOff>635000</xdr:colOff>
                <xdr:row>30</xdr:row>
                <xdr:rowOff>190500</xdr:rowOff>
              </to>
            </anchor>
          </objectPr>
        </oleObject>
      </mc:Choice>
      <mc:Fallback>
        <oleObject progId="Equation.3" shapeId="5123" r:id="rId7"/>
      </mc:Fallback>
    </mc:AlternateContent>
    <mc:AlternateContent xmlns:mc="http://schemas.openxmlformats.org/markup-compatibility/2006">
      <mc:Choice Requires="x14">
        <oleObject progId="Equation.3" shapeId="5124" r:id="rId9">
          <objectPr defaultSize="0" autoPict="0" r:id="rId10">
            <anchor moveWithCells="1" sizeWithCells="1">
              <from>
                <xdr:col>1</xdr:col>
                <xdr:colOff>0</xdr:colOff>
                <xdr:row>32</xdr:row>
                <xdr:rowOff>0</xdr:rowOff>
              </from>
              <to>
                <xdr:col>2</xdr:col>
                <xdr:colOff>457200</xdr:colOff>
                <xdr:row>34</xdr:row>
                <xdr:rowOff>127000</xdr:rowOff>
              </to>
            </anchor>
          </objectPr>
        </oleObject>
      </mc:Choice>
      <mc:Fallback>
        <oleObject progId="Equation.3" shapeId="5124" r:id="rId9"/>
      </mc:Fallback>
    </mc:AlternateContent>
    <mc:AlternateContent xmlns:mc="http://schemas.openxmlformats.org/markup-compatibility/2006">
      <mc:Choice Requires="x14">
        <oleObject progId="Equation.3" shapeId="5125" r:id="rId11">
          <objectPr defaultSize="0" autoPict="0" r:id="rId12">
            <anchor moveWithCells="1" sizeWithCells="1">
              <from>
                <xdr:col>1</xdr:col>
                <xdr:colOff>0</xdr:colOff>
                <xdr:row>37</xdr:row>
                <xdr:rowOff>152400</xdr:rowOff>
              </from>
              <to>
                <xdr:col>2</xdr:col>
                <xdr:colOff>635000</xdr:colOff>
                <xdr:row>40</xdr:row>
                <xdr:rowOff>76200</xdr:rowOff>
              </to>
            </anchor>
          </objectPr>
        </oleObject>
      </mc:Choice>
      <mc:Fallback>
        <oleObject progId="Equation.3" shapeId="5125" r:id="rId11"/>
      </mc:Fallback>
    </mc:AlternateContent>
    <mc:AlternateContent xmlns:mc="http://schemas.openxmlformats.org/markup-compatibility/2006">
      <mc:Choice Requires="x14">
        <oleObject progId="Equation.3" shapeId="5130" r:id="rId13">
          <objectPr defaultSize="0" autoPict="0" r:id="rId14">
            <anchor moveWithCells="1" sizeWithCells="1">
              <from>
                <xdr:col>1</xdr:col>
                <xdr:colOff>0</xdr:colOff>
                <xdr:row>94</xdr:row>
                <xdr:rowOff>0</xdr:rowOff>
              </from>
              <to>
                <xdr:col>2</xdr:col>
                <xdr:colOff>520700</xdr:colOff>
                <xdr:row>95</xdr:row>
                <xdr:rowOff>76200</xdr:rowOff>
              </to>
            </anchor>
          </objectPr>
        </oleObject>
      </mc:Choice>
      <mc:Fallback>
        <oleObject progId="Equation.3" shapeId="5130" r:id="rId13"/>
      </mc:Fallback>
    </mc:AlternateContent>
    <mc:AlternateContent xmlns:mc="http://schemas.openxmlformats.org/markup-compatibility/2006">
      <mc:Choice Requires="x14">
        <oleObject progId="Equation.3" shapeId="5129" r:id="rId15">
          <objectPr defaultSize="0" autoPict="0" r:id="rId16">
            <anchor moveWithCells="1" sizeWithCells="1">
              <from>
                <xdr:col>1</xdr:col>
                <xdr:colOff>0</xdr:colOff>
                <xdr:row>98</xdr:row>
                <xdr:rowOff>0</xdr:rowOff>
              </from>
              <to>
                <xdr:col>2</xdr:col>
                <xdr:colOff>673100</xdr:colOff>
                <xdr:row>100</xdr:row>
                <xdr:rowOff>127000</xdr:rowOff>
              </to>
            </anchor>
          </objectPr>
        </oleObject>
      </mc:Choice>
      <mc:Fallback>
        <oleObject progId="Equation.3" shapeId="5129" r:id="rId15"/>
      </mc:Fallback>
    </mc:AlternateContent>
    <mc:AlternateContent xmlns:mc="http://schemas.openxmlformats.org/markup-compatibility/2006">
      <mc:Choice Requires="x14">
        <oleObject progId="Equation.3" shapeId="5128" r:id="rId17">
          <objectPr defaultSize="0" autoPict="0" r:id="rId18">
            <anchor moveWithCells="1" sizeWithCells="1">
              <from>
                <xdr:col>1</xdr:col>
                <xdr:colOff>0</xdr:colOff>
                <xdr:row>100</xdr:row>
                <xdr:rowOff>0</xdr:rowOff>
              </from>
              <to>
                <xdr:col>2</xdr:col>
                <xdr:colOff>127000</xdr:colOff>
                <xdr:row>101</xdr:row>
                <xdr:rowOff>76200</xdr:rowOff>
              </to>
            </anchor>
          </objectPr>
        </oleObject>
      </mc:Choice>
      <mc:Fallback>
        <oleObject progId="Equation.3" shapeId="5128" r:id="rId17"/>
      </mc:Fallback>
    </mc:AlternateContent>
    <mc:AlternateContent xmlns:mc="http://schemas.openxmlformats.org/markup-compatibility/2006">
      <mc:Choice Requires="x14">
        <oleObject progId="Equation.3" shapeId="5127" r:id="rId19">
          <objectPr defaultSize="0" autoPict="0" r:id="rId20">
            <anchor moveWithCells="1" sizeWithCells="1">
              <from>
                <xdr:col>0</xdr:col>
                <xdr:colOff>736600</xdr:colOff>
                <xdr:row>101</xdr:row>
                <xdr:rowOff>177800</xdr:rowOff>
              </from>
              <to>
                <xdr:col>4</xdr:col>
                <xdr:colOff>558800</xdr:colOff>
                <xdr:row>103</xdr:row>
                <xdr:rowOff>50800</xdr:rowOff>
              </to>
            </anchor>
          </objectPr>
        </oleObject>
      </mc:Choice>
      <mc:Fallback>
        <oleObject progId="Equation.3" shapeId="5127" r:id="rId19"/>
      </mc:Fallback>
    </mc:AlternateContent>
    <mc:AlternateContent xmlns:mc="http://schemas.openxmlformats.org/markup-compatibility/2006">
      <mc:Choice Requires="x14">
        <oleObject progId="Equation.3" shapeId="5126" r:id="rId21">
          <objectPr defaultSize="0" autoPict="0" r:id="rId22">
            <anchor moveWithCells="1" sizeWithCells="1">
              <from>
                <xdr:col>1</xdr:col>
                <xdr:colOff>0</xdr:colOff>
                <xdr:row>104</xdr:row>
                <xdr:rowOff>0</xdr:rowOff>
              </from>
              <to>
                <xdr:col>2</xdr:col>
                <xdr:colOff>533400</xdr:colOff>
                <xdr:row>105</xdr:row>
                <xdr:rowOff>76200</xdr:rowOff>
              </to>
            </anchor>
          </objectPr>
        </oleObject>
      </mc:Choice>
      <mc:Fallback>
        <oleObject progId="Equation.3" shapeId="5126" r:id="rId21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121"/>
  <sheetViews>
    <sheetView workbookViewId="0">
      <selection activeCell="B119" sqref="B119"/>
    </sheetView>
  </sheetViews>
  <sheetFormatPr baseColWidth="10" defaultRowHeight="12" x14ac:dyDescent="0"/>
  <sheetData>
    <row r="3" spans="1:7" ht="18">
      <c r="A3" s="57" t="s">
        <v>274</v>
      </c>
      <c r="B3" s="57"/>
      <c r="C3" s="17"/>
      <c r="D3" s="9"/>
    </row>
    <row r="5" spans="1:7">
      <c r="A5" t="s">
        <v>275</v>
      </c>
    </row>
    <row r="7" spans="1:7">
      <c r="B7" t="s">
        <v>147</v>
      </c>
    </row>
    <row r="8" spans="1:7">
      <c r="B8" t="s">
        <v>268</v>
      </c>
      <c r="C8">
        <v>30</v>
      </c>
    </row>
    <row r="9" spans="1:7">
      <c r="B9" t="s">
        <v>267</v>
      </c>
      <c r="C9">
        <v>1820</v>
      </c>
    </row>
    <row r="10" spans="1:7">
      <c r="B10" s="55" t="s">
        <v>286</v>
      </c>
      <c r="C10">
        <v>0.5</v>
      </c>
    </row>
    <row r="11" spans="1:7">
      <c r="B11" t="s">
        <v>276</v>
      </c>
      <c r="C11">
        <v>5</v>
      </c>
      <c r="E11" t="s">
        <v>277</v>
      </c>
    </row>
    <row r="12" spans="1:7">
      <c r="B12" s="8" t="s">
        <v>278</v>
      </c>
      <c r="C12">
        <v>0.8</v>
      </c>
    </row>
    <row r="13" spans="1:7">
      <c r="B13" t="s">
        <v>279</v>
      </c>
      <c r="C13">
        <v>78</v>
      </c>
      <c r="E13" t="s">
        <v>280</v>
      </c>
      <c r="F13" t="s">
        <v>316</v>
      </c>
      <c r="G13">
        <v>7.8E-2</v>
      </c>
    </row>
    <row r="14" spans="1:7">
      <c r="B14" s="8" t="s">
        <v>281</v>
      </c>
      <c r="C14">
        <v>2.6</v>
      </c>
    </row>
    <row r="15" spans="1:7">
      <c r="B15" t="s">
        <v>269</v>
      </c>
      <c r="C15">
        <v>3480</v>
      </c>
    </row>
    <row r="16" spans="1:7">
      <c r="B16" s="8" t="s">
        <v>287</v>
      </c>
      <c r="C16">
        <v>0.12</v>
      </c>
    </row>
    <row r="18" spans="1:10" ht="17">
      <c r="A18" s="1" t="s">
        <v>16</v>
      </c>
    </row>
    <row r="19" spans="1:10">
      <c r="A19" t="s">
        <v>283</v>
      </c>
    </row>
    <row r="21" spans="1:10">
      <c r="B21" t="s">
        <v>282</v>
      </c>
    </row>
    <row r="23" spans="1:10" ht="17">
      <c r="A23" s="1" t="s">
        <v>17</v>
      </c>
    </row>
    <row r="24" spans="1:10">
      <c r="A24" t="s">
        <v>284</v>
      </c>
    </row>
    <row r="25" spans="1:10" ht="17">
      <c r="J25" s="1"/>
    </row>
    <row r="31" spans="1:10">
      <c r="B31" t="s">
        <v>285</v>
      </c>
    </row>
    <row r="32" spans="1:10">
      <c r="B32" s="16" t="s">
        <v>288</v>
      </c>
      <c r="C32" s="16"/>
      <c r="D32" s="16"/>
      <c r="E32" s="16"/>
      <c r="F32" s="16"/>
      <c r="G32" s="16" t="s">
        <v>317</v>
      </c>
      <c r="H32" s="16"/>
    </row>
    <row r="34" spans="1:2">
      <c r="A34" t="s">
        <v>289</v>
      </c>
    </row>
    <row r="36" spans="1:2" ht="17">
      <c r="A36" s="1" t="s">
        <v>19</v>
      </c>
    </row>
    <row r="37" spans="1:2">
      <c r="A37" t="s">
        <v>290</v>
      </c>
    </row>
    <row r="38" spans="1:2">
      <c r="A38" t="s">
        <v>291</v>
      </c>
    </row>
    <row r="39" spans="1:2">
      <c r="A39" t="s">
        <v>292</v>
      </c>
    </row>
    <row r="40" spans="1:2">
      <c r="A40" t="s">
        <v>293</v>
      </c>
    </row>
    <row r="42" spans="1:2">
      <c r="A42" t="s">
        <v>294</v>
      </c>
    </row>
    <row r="43" spans="1:2">
      <c r="B43" t="s">
        <v>295</v>
      </c>
    </row>
    <row r="44" spans="1:2">
      <c r="B44" t="s">
        <v>296</v>
      </c>
    </row>
    <row r="45" spans="1:2">
      <c r="B45" t="s">
        <v>299</v>
      </c>
    </row>
    <row r="47" spans="1:2">
      <c r="B47" t="s">
        <v>297</v>
      </c>
    </row>
    <row r="49" spans="1:2">
      <c r="B49" t="s">
        <v>298</v>
      </c>
    </row>
    <row r="51" spans="1:2" ht="17">
      <c r="A51" s="1" t="s">
        <v>33</v>
      </c>
    </row>
    <row r="52" spans="1:2">
      <c r="A52" t="s">
        <v>300</v>
      </c>
    </row>
    <row r="53" spans="1:2">
      <c r="A53" t="s">
        <v>301</v>
      </c>
    </row>
    <row r="54" spans="1:2">
      <c r="A54" t="s">
        <v>302</v>
      </c>
    </row>
    <row r="60" spans="1:2">
      <c r="A60" t="s">
        <v>22</v>
      </c>
    </row>
    <row r="61" spans="1:2">
      <c r="B61" t="s">
        <v>303</v>
      </c>
    </row>
    <row r="62" spans="1:2">
      <c r="B62" t="s">
        <v>304</v>
      </c>
    </row>
    <row r="64" spans="1:2">
      <c r="B64" t="s">
        <v>305</v>
      </c>
    </row>
    <row r="70" spans="2:2">
      <c r="B70" t="s">
        <v>306</v>
      </c>
    </row>
    <row r="72" spans="2:2">
      <c r="B72" t="s">
        <v>307</v>
      </c>
    </row>
    <row r="79" spans="2:2">
      <c r="B79" t="s">
        <v>308</v>
      </c>
    </row>
    <row r="82" spans="2:2">
      <c r="B82" t="s">
        <v>309</v>
      </c>
    </row>
    <row r="86" spans="2:2">
      <c r="B86" t="s">
        <v>310</v>
      </c>
    </row>
    <row r="89" spans="2:2">
      <c r="B89" t="s">
        <v>311</v>
      </c>
    </row>
    <row r="98" spans="1:2">
      <c r="B98" t="s">
        <v>203</v>
      </c>
    </row>
    <row r="105" spans="1:2">
      <c r="B105" t="s">
        <v>312</v>
      </c>
    </row>
    <row r="112" spans="1:2" ht="17">
      <c r="A112" s="1" t="s">
        <v>250</v>
      </c>
    </row>
    <row r="113" spans="1:6">
      <c r="A113" t="s">
        <v>313</v>
      </c>
    </row>
    <row r="114" spans="1:6">
      <c r="A114" t="s">
        <v>314</v>
      </c>
    </row>
    <row r="116" spans="1:6">
      <c r="B116" s="29" t="s">
        <v>315</v>
      </c>
      <c r="C116" s="29"/>
      <c r="D116" s="31">
        <f>(1.535*G13*(C12-C16)*(POWER(C8,2)-POWER(C11,2))/(C14*LN(C9/C10)))</f>
        <v>3.3415393016233534</v>
      </c>
      <c r="F116" t="s">
        <v>318</v>
      </c>
    </row>
    <row r="119" spans="1:6">
      <c r="B119" t="s">
        <v>320</v>
      </c>
    </row>
    <row r="121" spans="1:6">
      <c r="B121" s="29" t="s">
        <v>319</v>
      </c>
      <c r="C121" s="29">
        <f>C15-4.7</f>
        <v>3475.3</v>
      </c>
    </row>
  </sheetData>
  <phoneticPr fontId="0" type="noConversion"/>
  <pageMargins left="0.78740157499999996" right="0.78740157499999996" top="0.984251969" bottom="0.984251969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7169" r:id="rId3">
          <objectPr defaultSize="0" autoPict="0" r:id="rId4">
            <anchor moveWithCells="1" sizeWithCells="1">
              <from>
                <xdr:col>1</xdr:col>
                <xdr:colOff>0</xdr:colOff>
                <xdr:row>25</xdr:row>
                <xdr:rowOff>0</xdr:rowOff>
              </from>
              <to>
                <xdr:col>3</xdr:col>
                <xdr:colOff>304800</xdr:colOff>
                <xdr:row>29</xdr:row>
                <xdr:rowOff>12700</xdr:rowOff>
              </to>
            </anchor>
          </objectPr>
        </oleObject>
      </mc:Choice>
      <mc:Fallback>
        <oleObject progId="Equation.3" shapeId="7169" r:id="rId3"/>
      </mc:Fallback>
    </mc:AlternateContent>
    <mc:AlternateContent xmlns:mc="http://schemas.openxmlformats.org/markup-compatibility/2006">
      <mc:Choice Requires="x14">
        <oleObject progId="Equation.3" shapeId="7170" r:id="rId5">
          <objectPr defaultSize="0" autoPict="0" r:id="rId6">
            <anchor moveWithCells="1" sizeWithCells="1">
              <from>
                <xdr:col>1</xdr:col>
                <xdr:colOff>0</xdr:colOff>
                <xdr:row>55</xdr:row>
                <xdr:rowOff>0</xdr:rowOff>
              </from>
              <to>
                <xdr:col>2</xdr:col>
                <xdr:colOff>330200</xdr:colOff>
                <xdr:row>58</xdr:row>
                <xdr:rowOff>0</xdr:rowOff>
              </to>
            </anchor>
          </objectPr>
        </oleObject>
      </mc:Choice>
      <mc:Fallback>
        <oleObject progId="Equation.3" shapeId="7170" r:id="rId5"/>
      </mc:Fallback>
    </mc:AlternateContent>
    <mc:AlternateContent xmlns:mc="http://schemas.openxmlformats.org/markup-compatibility/2006">
      <mc:Choice Requires="x14">
        <oleObject progId="Equation.3" shapeId="7171" r:id="rId7">
          <objectPr defaultSize="0" autoPict="0" r:id="rId8">
            <anchor moveWithCells="1" sizeWithCells="1">
              <from>
                <xdr:col>1</xdr:col>
                <xdr:colOff>0</xdr:colOff>
                <xdr:row>65</xdr:row>
                <xdr:rowOff>0</xdr:rowOff>
              </from>
              <to>
                <xdr:col>3</xdr:col>
                <xdr:colOff>25400</xdr:colOff>
                <xdr:row>69</xdr:row>
                <xdr:rowOff>0</xdr:rowOff>
              </to>
            </anchor>
          </objectPr>
        </oleObject>
      </mc:Choice>
      <mc:Fallback>
        <oleObject progId="Equation.3" shapeId="7171" r:id="rId7"/>
      </mc:Fallback>
    </mc:AlternateContent>
    <mc:AlternateContent xmlns:mc="http://schemas.openxmlformats.org/markup-compatibility/2006">
      <mc:Choice Requires="x14">
        <oleObject progId="Equation.3" shapeId="7172" r:id="rId9">
          <objectPr defaultSize="0" autoPict="0" r:id="rId10">
            <anchor moveWithCells="1" sizeWithCells="1">
              <from>
                <xdr:col>0</xdr:col>
                <xdr:colOff>749300</xdr:colOff>
                <xdr:row>72</xdr:row>
                <xdr:rowOff>152400</xdr:rowOff>
              </from>
              <to>
                <xdr:col>3</xdr:col>
                <xdr:colOff>228600</xdr:colOff>
                <xdr:row>76</xdr:row>
                <xdr:rowOff>152400</xdr:rowOff>
              </to>
            </anchor>
          </objectPr>
        </oleObject>
      </mc:Choice>
      <mc:Fallback>
        <oleObject progId="Equation.3" shapeId="7172" r:id="rId9"/>
      </mc:Fallback>
    </mc:AlternateContent>
    <mc:AlternateContent xmlns:mc="http://schemas.openxmlformats.org/markup-compatibility/2006">
      <mc:Choice Requires="x14">
        <oleObject progId="Equation.3" shapeId="7173" r:id="rId11">
          <objectPr defaultSize="0" autoPict="0" r:id="rId12">
            <anchor moveWithCells="1" sizeWithCells="1">
              <from>
                <xdr:col>2</xdr:col>
                <xdr:colOff>0</xdr:colOff>
                <xdr:row>80</xdr:row>
                <xdr:rowOff>0</xdr:rowOff>
              </from>
              <to>
                <xdr:col>5</xdr:col>
                <xdr:colOff>393700</xdr:colOff>
                <xdr:row>83</xdr:row>
                <xdr:rowOff>0</xdr:rowOff>
              </to>
            </anchor>
          </objectPr>
        </oleObject>
      </mc:Choice>
      <mc:Fallback>
        <oleObject progId="Equation.3" shapeId="7173" r:id="rId11"/>
      </mc:Fallback>
    </mc:AlternateContent>
    <mc:AlternateContent xmlns:mc="http://schemas.openxmlformats.org/markup-compatibility/2006">
      <mc:Choice Requires="x14">
        <oleObject progId="Equation.3" shapeId="7174" r:id="rId13">
          <objectPr defaultSize="0" autoPict="0" r:id="rId14">
            <anchor moveWithCells="1" sizeWithCells="1">
              <from>
                <xdr:col>2</xdr:col>
                <xdr:colOff>0</xdr:colOff>
                <xdr:row>84</xdr:row>
                <xdr:rowOff>0</xdr:rowOff>
              </from>
              <to>
                <xdr:col>5</xdr:col>
                <xdr:colOff>165100</xdr:colOff>
                <xdr:row>87</xdr:row>
                <xdr:rowOff>0</xdr:rowOff>
              </to>
            </anchor>
          </objectPr>
        </oleObject>
      </mc:Choice>
      <mc:Fallback>
        <oleObject progId="Equation.3" shapeId="7174" r:id="rId13"/>
      </mc:Fallback>
    </mc:AlternateContent>
    <mc:AlternateContent xmlns:mc="http://schemas.openxmlformats.org/markup-compatibility/2006">
      <mc:Choice Requires="x14">
        <oleObject progId="Equation.3" shapeId="7175" r:id="rId15">
          <objectPr defaultSize="0" autoPict="0" r:id="rId16">
            <anchor moveWithCells="1" sizeWithCells="1">
              <from>
                <xdr:col>1</xdr:col>
                <xdr:colOff>723900</xdr:colOff>
                <xdr:row>88</xdr:row>
                <xdr:rowOff>152400</xdr:rowOff>
              </from>
              <to>
                <xdr:col>5</xdr:col>
                <xdr:colOff>190500</xdr:colOff>
                <xdr:row>91</xdr:row>
                <xdr:rowOff>152400</xdr:rowOff>
              </to>
            </anchor>
          </objectPr>
        </oleObject>
      </mc:Choice>
      <mc:Fallback>
        <oleObject progId="Equation.3" shapeId="7175" r:id="rId15"/>
      </mc:Fallback>
    </mc:AlternateContent>
    <mc:AlternateContent xmlns:mc="http://schemas.openxmlformats.org/markup-compatibility/2006">
      <mc:Choice Requires="x14">
        <oleObject progId="Equation.3" shapeId="7176" r:id="rId17">
          <objectPr defaultSize="0" autoPict="0" r:id="rId18">
            <anchor moveWithCells="1" sizeWithCells="1">
              <from>
                <xdr:col>2</xdr:col>
                <xdr:colOff>0</xdr:colOff>
                <xdr:row>93</xdr:row>
                <xdr:rowOff>0</xdr:rowOff>
              </from>
              <to>
                <xdr:col>5</xdr:col>
                <xdr:colOff>127000</xdr:colOff>
                <xdr:row>96</xdr:row>
                <xdr:rowOff>25400</xdr:rowOff>
              </to>
            </anchor>
          </objectPr>
        </oleObject>
      </mc:Choice>
      <mc:Fallback>
        <oleObject progId="Equation.3" shapeId="7176" r:id="rId17"/>
      </mc:Fallback>
    </mc:AlternateContent>
    <mc:AlternateContent xmlns:mc="http://schemas.openxmlformats.org/markup-compatibility/2006">
      <mc:Choice Requires="x14">
        <oleObject progId="Equation.3" shapeId="7177" r:id="rId19">
          <objectPr defaultSize="0" autoPict="0" r:id="rId20">
            <anchor moveWithCells="1" sizeWithCells="1">
              <from>
                <xdr:col>2</xdr:col>
                <xdr:colOff>0</xdr:colOff>
                <xdr:row>98</xdr:row>
                <xdr:rowOff>0</xdr:rowOff>
              </from>
              <to>
                <xdr:col>5</xdr:col>
                <xdr:colOff>228600</xdr:colOff>
                <xdr:row>102</xdr:row>
                <xdr:rowOff>38100</xdr:rowOff>
              </to>
            </anchor>
          </objectPr>
        </oleObject>
      </mc:Choice>
      <mc:Fallback>
        <oleObject progId="Equation.3" shapeId="7177" r:id="rId19"/>
      </mc:Fallback>
    </mc:AlternateContent>
    <mc:AlternateContent xmlns:mc="http://schemas.openxmlformats.org/markup-compatibility/2006">
      <mc:Choice Requires="x14">
        <oleObject progId="Equation.3" shapeId="7178" r:id="rId21">
          <objectPr defaultSize="0" autoPict="0" r:id="rId22">
            <anchor moveWithCells="1" sizeWithCells="1">
              <from>
                <xdr:col>2</xdr:col>
                <xdr:colOff>0</xdr:colOff>
                <xdr:row>107</xdr:row>
                <xdr:rowOff>0</xdr:rowOff>
              </from>
              <to>
                <xdr:col>3</xdr:col>
                <xdr:colOff>330200</xdr:colOff>
                <xdr:row>110</xdr:row>
                <xdr:rowOff>0</xdr:rowOff>
              </to>
            </anchor>
          </objectPr>
        </oleObject>
      </mc:Choice>
      <mc:Fallback>
        <oleObject progId="Equation.3" shapeId="7178" r:id="rId21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87"/>
  <sheetViews>
    <sheetView workbookViewId="0">
      <selection activeCell="I24" sqref="I24"/>
    </sheetView>
  </sheetViews>
  <sheetFormatPr baseColWidth="10" defaultRowHeight="12" x14ac:dyDescent="0"/>
  <sheetData>
    <row r="3" spans="1:6" ht="18">
      <c r="A3" s="12" t="s">
        <v>321</v>
      </c>
      <c r="B3" s="12"/>
      <c r="C3" s="12"/>
      <c r="D3" s="12"/>
      <c r="E3" s="13"/>
    </row>
    <row r="6" spans="1:6">
      <c r="A6" t="s">
        <v>393</v>
      </c>
    </row>
    <row r="7" spans="1:6">
      <c r="A7" t="s">
        <v>147</v>
      </c>
    </row>
    <row r="9" spans="1:6">
      <c r="B9" t="s">
        <v>322</v>
      </c>
      <c r="C9">
        <v>2200</v>
      </c>
    </row>
    <row r="10" spans="1:6">
      <c r="B10" t="s">
        <v>323</v>
      </c>
      <c r="C10">
        <v>18000</v>
      </c>
    </row>
    <row r="11" spans="1:6">
      <c r="B11" t="s">
        <v>324</v>
      </c>
      <c r="C11">
        <v>2200</v>
      </c>
    </row>
    <row r="12" spans="1:6">
      <c r="B12" s="8" t="s">
        <v>325</v>
      </c>
      <c r="C12">
        <v>0.21</v>
      </c>
    </row>
    <row r="13" spans="1:6">
      <c r="B13" t="s">
        <v>326</v>
      </c>
      <c r="C13">
        <v>180</v>
      </c>
    </row>
    <row r="14" spans="1:6">
      <c r="B14" s="8" t="s">
        <v>327</v>
      </c>
      <c r="C14">
        <v>0.5</v>
      </c>
      <c r="E14" s="8" t="s">
        <v>338</v>
      </c>
      <c r="F14">
        <f>C14/C15</f>
        <v>0.20833333333333334</v>
      </c>
    </row>
    <row r="15" spans="1:6">
      <c r="B15" s="8" t="s">
        <v>281</v>
      </c>
      <c r="C15">
        <v>2.4</v>
      </c>
    </row>
    <row r="16" spans="1:6">
      <c r="B16" s="55" t="s">
        <v>150</v>
      </c>
      <c r="C16">
        <v>0.15</v>
      </c>
    </row>
    <row r="17" spans="1:6">
      <c r="B17" s="55" t="s">
        <v>328</v>
      </c>
      <c r="C17">
        <v>0.2</v>
      </c>
    </row>
    <row r="18" spans="1:6">
      <c r="B18" s="55" t="s">
        <v>329</v>
      </c>
      <c r="C18">
        <v>1.2</v>
      </c>
    </row>
    <row r="19" spans="1:6">
      <c r="B19" s="55" t="s">
        <v>270</v>
      </c>
      <c r="C19">
        <v>1</v>
      </c>
    </row>
    <row r="21" spans="1:6">
      <c r="A21" t="s">
        <v>330</v>
      </c>
    </row>
    <row r="23" spans="1:6">
      <c r="B23" s="59" t="s">
        <v>331</v>
      </c>
      <c r="C23" s="59" t="s">
        <v>332</v>
      </c>
      <c r="D23" s="59" t="s">
        <v>333</v>
      </c>
      <c r="E23" s="59" t="s">
        <v>273</v>
      </c>
      <c r="F23" s="59" t="s">
        <v>336</v>
      </c>
    </row>
    <row r="24" spans="1:6">
      <c r="B24" s="58">
        <v>0.15</v>
      </c>
      <c r="C24" s="22">
        <v>0</v>
      </c>
      <c r="D24" s="22">
        <v>0.92</v>
      </c>
      <c r="E24" s="58">
        <v>0</v>
      </c>
      <c r="F24" s="22" t="s">
        <v>337</v>
      </c>
    </row>
    <row r="25" spans="1:6">
      <c r="B25" s="58">
        <v>0.25</v>
      </c>
      <c r="C25" s="22">
        <v>0.02</v>
      </c>
      <c r="D25" s="22">
        <v>0.72499999999999998</v>
      </c>
      <c r="E25" s="62">
        <f>1/(1+F25*F14)</f>
        <v>0.11693057247259439</v>
      </c>
      <c r="F25" s="61">
        <f>D25/C25</f>
        <v>36.25</v>
      </c>
    </row>
    <row r="26" spans="1:6">
      <c r="B26" s="58">
        <v>0.35</v>
      </c>
      <c r="C26" s="22">
        <v>0.05</v>
      </c>
      <c r="D26" s="22">
        <v>0.47</v>
      </c>
      <c r="E26" s="62">
        <f>1/(1+F26*F14)</f>
        <v>0.33802816901408456</v>
      </c>
      <c r="F26" s="61">
        <f t="shared" ref="F26:F31" si="0">D26/C26</f>
        <v>9.3999999999999986</v>
      </c>
    </row>
    <row r="27" spans="1:6">
      <c r="B27" s="58">
        <v>0.45</v>
      </c>
      <c r="C27" s="22">
        <v>9.5000000000000001E-2</v>
      </c>
      <c r="D27" s="22">
        <v>0.28999999999999998</v>
      </c>
      <c r="E27" s="62">
        <f>1/(1+F27*F14)</f>
        <v>0.61126005361930302</v>
      </c>
      <c r="F27" s="61">
        <f t="shared" si="0"/>
        <v>3.0526315789473681</v>
      </c>
    </row>
    <row r="28" spans="1:6">
      <c r="B28" s="58">
        <v>0.55000000000000004</v>
      </c>
      <c r="C28" s="22">
        <v>0.15</v>
      </c>
      <c r="D28" s="22">
        <v>0.15</v>
      </c>
      <c r="E28" s="62">
        <f>1/(1+F28*F14)</f>
        <v>0.82758620689655182</v>
      </c>
      <c r="F28" s="61">
        <f t="shared" si="0"/>
        <v>1</v>
      </c>
    </row>
    <row r="29" spans="1:6">
      <c r="B29" s="58">
        <v>0.65</v>
      </c>
      <c r="C29" s="22">
        <v>0.22500000000000001</v>
      </c>
      <c r="D29" s="22">
        <v>0.06</v>
      </c>
      <c r="E29" s="62">
        <f>1/(1+F29*F14)</f>
        <v>0.94736842105263153</v>
      </c>
      <c r="F29" s="61">
        <f t="shared" si="0"/>
        <v>0.26666666666666666</v>
      </c>
    </row>
    <row r="30" spans="1:6">
      <c r="B30" s="58">
        <v>0.75</v>
      </c>
      <c r="C30" s="22">
        <v>0.33500000000000002</v>
      </c>
      <c r="D30" s="22">
        <v>1.4999999999999999E-2</v>
      </c>
      <c r="E30" s="62">
        <f>1/(1+F30*F14)</f>
        <v>0.99075785582255094</v>
      </c>
      <c r="F30" s="61">
        <f t="shared" si="0"/>
        <v>4.4776119402985072E-2</v>
      </c>
    </row>
    <row r="31" spans="1:6">
      <c r="B31" s="58">
        <v>0.8</v>
      </c>
      <c r="C31" s="22">
        <v>0.41</v>
      </c>
      <c r="D31" s="22">
        <v>0</v>
      </c>
      <c r="E31" s="62">
        <f>1/(1+F31*F14)</f>
        <v>1</v>
      </c>
      <c r="F31" s="61">
        <f t="shared" si="0"/>
        <v>0</v>
      </c>
    </row>
    <row r="33" spans="1:2">
      <c r="A33" t="s">
        <v>394</v>
      </c>
    </row>
    <row r="39" spans="1:2" ht="17">
      <c r="A39" s="1" t="s">
        <v>16</v>
      </c>
    </row>
    <row r="40" spans="1:2">
      <c r="A40" t="s">
        <v>395</v>
      </c>
    </row>
    <row r="42" spans="1:2">
      <c r="A42" t="s">
        <v>334</v>
      </c>
    </row>
    <row r="43" spans="1:2">
      <c r="B43" t="s">
        <v>335</v>
      </c>
    </row>
    <row r="70" spans="1:7">
      <c r="B70" s="55" t="s">
        <v>396</v>
      </c>
    </row>
    <row r="72" spans="1:7">
      <c r="B72" s="29" t="s">
        <v>339</v>
      </c>
      <c r="C72" s="29">
        <v>0.625</v>
      </c>
    </row>
    <row r="73" spans="1:7">
      <c r="B73" s="29" t="s">
        <v>340</v>
      </c>
      <c r="C73" s="29">
        <v>0.76</v>
      </c>
      <c r="E73" s="16" t="s">
        <v>342</v>
      </c>
      <c r="F73" s="16">
        <v>0.51200000000000001</v>
      </c>
    </row>
    <row r="75" spans="1:7">
      <c r="A75" s="55" t="s">
        <v>132</v>
      </c>
    </row>
    <row r="76" spans="1:7">
      <c r="E76" s="29" t="s">
        <v>272</v>
      </c>
      <c r="F76" s="36">
        <f>(C12*C10*C11*(C72-C16))/(5.6148*C18)</f>
        <v>586263.0904039325</v>
      </c>
    </row>
    <row r="79" spans="1:7" ht="17">
      <c r="A79" s="1"/>
      <c r="F79" s="29" t="s">
        <v>271</v>
      </c>
      <c r="G79" s="37">
        <f>(C12*C10*C11*(C72-C16))/(5.6148*C9)</f>
        <v>319.7798674930541</v>
      </c>
    </row>
    <row r="84" spans="1:2" ht="17">
      <c r="A84" s="1" t="s">
        <v>17</v>
      </c>
    </row>
    <row r="85" spans="1:2">
      <c r="A85" s="55" t="s">
        <v>397</v>
      </c>
    </row>
    <row r="86" spans="1:2">
      <c r="A86" t="s">
        <v>341</v>
      </c>
    </row>
    <row r="88" spans="1:2">
      <c r="A88" t="s">
        <v>343</v>
      </c>
    </row>
    <row r="90" spans="1:2">
      <c r="B90" t="s">
        <v>344</v>
      </c>
    </row>
    <row r="92" spans="1:2">
      <c r="A92" s="55" t="s">
        <v>398</v>
      </c>
    </row>
    <row r="94" spans="1:2">
      <c r="A94" s="55" t="s">
        <v>399</v>
      </c>
    </row>
    <row r="97" spans="1:5">
      <c r="E97" t="s">
        <v>347</v>
      </c>
    </row>
    <row r="100" spans="1:5">
      <c r="A100" t="s">
        <v>23</v>
      </c>
      <c r="B100" s="59" t="s">
        <v>331</v>
      </c>
      <c r="C100" s="59" t="s">
        <v>345</v>
      </c>
      <c r="D100" s="59" t="s">
        <v>346</v>
      </c>
    </row>
    <row r="101" spans="1:5">
      <c r="B101" s="22">
        <v>0.8</v>
      </c>
      <c r="C101" s="22"/>
      <c r="D101" s="22">
        <v>0</v>
      </c>
    </row>
    <row r="102" spans="1:5">
      <c r="B102" s="22">
        <v>0.65</v>
      </c>
      <c r="C102" s="22">
        <v>0.75700000000000001</v>
      </c>
      <c r="D102" s="60">
        <f>(C9*G79*C102*5.615)/(C12*C10)</f>
        <v>791.09317785139285</v>
      </c>
    </row>
    <row r="103" spans="1:5">
      <c r="B103" s="22">
        <v>0.55000000000000004</v>
      </c>
      <c r="C103" s="22">
        <v>1.639</v>
      </c>
      <c r="D103" s="60">
        <f>(C9*G79*C103*5.615)/(C12*C10)</f>
        <v>1712.8160085844556</v>
      </c>
    </row>
    <row r="104" spans="1:5">
      <c r="B104" s="22">
        <v>0.51200000000000001</v>
      </c>
      <c r="C104" s="22"/>
      <c r="D104" s="22">
        <v>2200</v>
      </c>
    </row>
    <row r="117" spans="1:5" ht="17">
      <c r="A117" s="56" t="s">
        <v>19</v>
      </c>
    </row>
    <row r="118" spans="1:5">
      <c r="A118" t="s">
        <v>348</v>
      </c>
    </row>
    <row r="119" spans="1:5">
      <c r="A119" t="s">
        <v>349</v>
      </c>
    </row>
    <row r="121" spans="1:5">
      <c r="A121" t="s">
        <v>22</v>
      </c>
    </row>
    <row r="122" spans="1:5">
      <c r="A122" t="s">
        <v>132</v>
      </c>
    </row>
    <row r="124" spans="1:5">
      <c r="D124" t="s">
        <v>350</v>
      </c>
      <c r="E124">
        <v>20</v>
      </c>
    </row>
    <row r="129" spans="2:6">
      <c r="D129" s="29" t="s">
        <v>273</v>
      </c>
      <c r="E129" s="25">
        <f>1/((C18/(C19*E124)+1))</f>
        <v>0.94339622641509424</v>
      </c>
    </row>
    <row r="131" spans="2:6">
      <c r="D131" s="16" t="s">
        <v>363</v>
      </c>
      <c r="E131" s="16">
        <v>0.64500000000000002</v>
      </c>
      <c r="F131" s="55" t="s">
        <v>400</v>
      </c>
    </row>
    <row r="133" spans="2:6">
      <c r="B133" t="s">
        <v>351</v>
      </c>
    </row>
    <row r="135" spans="2:6">
      <c r="B135" s="16" t="s">
        <v>339</v>
      </c>
      <c r="C135" s="16">
        <v>0.71499999999999997</v>
      </c>
    </row>
    <row r="137" spans="2:6">
      <c r="B137" t="s">
        <v>352</v>
      </c>
    </row>
    <row r="139" spans="2:6">
      <c r="E139" s="29" t="s">
        <v>272</v>
      </c>
      <c r="F139" s="36">
        <f>(C12*C10*C11*(C135-C16))/(C18*5.6146)</f>
        <v>697369.35845830513</v>
      </c>
    </row>
    <row r="142" spans="2:6">
      <c r="B142" t="s">
        <v>353</v>
      </c>
    </row>
    <row r="145" spans="1:6">
      <c r="E145" s="29" t="s">
        <v>354</v>
      </c>
      <c r="F145" s="36">
        <f>(100*(C135-C16))/(1-C17-C16)</f>
        <v>86.923076923076906</v>
      </c>
    </row>
    <row r="149" spans="1:6" ht="17">
      <c r="A149" s="1" t="s">
        <v>33</v>
      </c>
    </row>
    <row r="150" spans="1:6">
      <c r="A150" t="s">
        <v>355</v>
      </c>
    </row>
    <row r="151" spans="1:6">
      <c r="A151" t="s">
        <v>356</v>
      </c>
    </row>
    <row r="153" spans="1:6">
      <c r="A153" t="s">
        <v>22</v>
      </c>
    </row>
    <row r="154" spans="1:6">
      <c r="B154" t="s">
        <v>357</v>
      </c>
    </row>
    <row r="161" spans="1:5">
      <c r="D161" s="53" t="s">
        <v>358</v>
      </c>
      <c r="E161" s="54">
        <f>(887.33*C15*C11*C9)/(C13*D24*C10)</f>
        <v>3457.8721417069241</v>
      </c>
    </row>
    <row r="164" spans="1:5">
      <c r="B164" t="s">
        <v>359</v>
      </c>
    </row>
    <row r="166" spans="1:5">
      <c r="B166" t="s">
        <v>360</v>
      </c>
    </row>
    <row r="167" spans="1:5">
      <c r="A167" t="s">
        <v>203</v>
      </c>
      <c r="B167" t="s">
        <v>361</v>
      </c>
    </row>
    <row r="169" spans="1:5">
      <c r="B169" t="s">
        <v>362</v>
      </c>
    </row>
    <row r="171" spans="1:5">
      <c r="B171" t="s">
        <v>132</v>
      </c>
    </row>
    <row r="173" spans="1:5">
      <c r="D173" s="53" t="s">
        <v>358</v>
      </c>
      <c r="E173" s="54">
        <f>(887.33*C14*C11*C9)/(C13*C31*C10)</f>
        <v>1616.4849442938873</v>
      </c>
    </row>
    <row r="176" spans="1:5">
      <c r="B176" t="s">
        <v>364</v>
      </c>
    </row>
    <row r="178" spans="2:7">
      <c r="B178" t="s">
        <v>365</v>
      </c>
    </row>
    <row r="180" spans="2:7">
      <c r="B180" t="s">
        <v>366</v>
      </c>
      <c r="C180" t="s">
        <v>367</v>
      </c>
      <c r="D180">
        <v>0.06</v>
      </c>
    </row>
    <row r="181" spans="2:7">
      <c r="C181" t="s">
        <v>332</v>
      </c>
      <c r="D181">
        <v>0.22500000000000001</v>
      </c>
      <c r="F181" t="s">
        <v>368</v>
      </c>
    </row>
    <row r="182" spans="2:7">
      <c r="C182" t="s">
        <v>273</v>
      </c>
      <c r="D182">
        <v>0.94340000000000002</v>
      </c>
    </row>
    <row r="184" spans="2:7">
      <c r="B184" t="s">
        <v>369</v>
      </c>
    </row>
    <row r="187" spans="2:7">
      <c r="F187" s="53" t="s">
        <v>358</v>
      </c>
      <c r="G187" s="54">
        <f>(887.33*C14*C11*D182*C9)/(C13*D181*C10)</f>
        <v>2778.8741224142659</v>
      </c>
    </row>
  </sheetData>
  <phoneticPr fontId="0" type="noConversion"/>
  <pageMargins left="0.78740157499999996" right="0.78740157499999996" top="0.984251969" bottom="0.984251969" header="0.5" footer="0.5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9217" r:id="rId3">
          <objectPr defaultSize="0" autoPict="0" r:id="rId4">
            <anchor moveWithCells="1" sizeWithCells="1">
              <from>
                <xdr:col>1</xdr:col>
                <xdr:colOff>0</xdr:colOff>
                <xdr:row>34</xdr:row>
                <xdr:rowOff>0</xdr:rowOff>
              </from>
              <to>
                <xdr:col>2</xdr:col>
                <xdr:colOff>381000</xdr:colOff>
                <xdr:row>37</xdr:row>
                <xdr:rowOff>12700</xdr:rowOff>
              </to>
            </anchor>
          </objectPr>
        </oleObject>
      </mc:Choice>
      <mc:Fallback>
        <oleObject progId="Equation.3" shapeId="9217" r:id="rId3"/>
      </mc:Fallback>
    </mc:AlternateContent>
    <mc:AlternateContent xmlns:mc="http://schemas.openxmlformats.org/markup-compatibility/2006">
      <mc:Choice Requires="x14">
        <oleObject progId="Equation.3" shapeId="9218" r:id="rId5">
          <objectPr defaultSize="0" autoPict="0" r:id="rId6">
            <anchor moveWithCells="1" sizeWithCells="1">
              <from>
                <xdr:col>1</xdr:col>
                <xdr:colOff>101600</xdr:colOff>
                <xdr:row>43</xdr:row>
                <xdr:rowOff>114300</xdr:rowOff>
              </from>
              <to>
                <xdr:col>2</xdr:col>
                <xdr:colOff>381000</xdr:colOff>
                <xdr:row>47</xdr:row>
                <xdr:rowOff>101600</xdr:rowOff>
              </to>
            </anchor>
          </objectPr>
        </oleObject>
      </mc:Choice>
      <mc:Fallback>
        <oleObject progId="Equation.3" shapeId="9218" r:id="rId5"/>
      </mc:Fallback>
    </mc:AlternateContent>
    <mc:AlternateContent xmlns:mc="http://schemas.openxmlformats.org/markup-compatibility/2006">
      <mc:Choice Requires="x14">
        <oleObject progId="Equation.3" shapeId="9222" r:id="rId7">
          <objectPr defaultSize="0" autoPict="0" r:id="rId8">
            <anchor moveWithCells="1" sizeWithCells="1">
              <from>
                <xdr:col>0</xdr:col>
                <xdr:colOff>723900</xdr:colOff>
                <xdr:row>74</xdr:row>
                <xdr:rowOff>76200</xdr:rowOff>
              </from>
              <to>
                <xdr:col>2</xdr:col>
                <xdr:colOff>723900</xdr:colOff>
                <xdr:row>77</xdr:row>
                <xdr:rowOff>38100</xdr:rowOff>
              </to>
            </anchor>
          </objectPr>
        </oleObject>
      </mc:Choice>
      <mc:Fallback>
        <oleObject progId="Equation.3" shapeId="9222" r:id="rId7"/>
      </mc:Fallback>
    </mc:AlternateContent>
    <mc:AlternateContent xmlns:mc="http://schemas.openxmlformats.org/markup-compatibility/2006">
      <mc:Choice Requires="x14">
        <oleObject progId="Equation.3" shapeId="9223" r:id="rId9">
          <objectPr defaultSize="0" autoPict="0" r:id="rId10">
            <anchor moveWithCells="1" sizeWithCells="1">
              <from>
                <xdr:col>1</xdr:col>
                <xdr:colOff>0</xdr:colOff>
                <xdr:row>78</xdr:row>
                <xdr:rowOff>0</xdr:rowOff>
              </from>
              <to>
                <xdr:col>4</xdr:col>
                <xdr:colOff>165100</xdr:colOff>
                <xdr:row>82</xdr:row>
                <xdr:rowOff>0</xdr:rowOff>
              </to>
            </anchor>
          </objectPr>
        </oleObject>
      </mc:Choice>
      <mc:Fallback>
        <oleObject progId="Equation.3" shapeId="9223" r:id="rId9"/>
      </mc:Fallback>
    </mc:AlternateContent>
    <mc:AlternateContent xmlns:mc="http://schemas.openxmlformats.org/markup-compatibility/2006">
      <mc:Choice Requires="x14">
        <oleObject progId="Equation.3" shapeId="9224" r:id="rId11">
          <objectPr defaultSize="0" autoPict="0" r:id="rId12">
            <anchor moveWithCells="1" sizeWithCells="1">
              <from>
                <xdr:col>1</xdr:col>
                <xdr:colOff>0</xdr:colOff>
                <xdr:row>95</xdr:row>
                <xdr:rowOff>0</xdr:rowOff>
              </from>
              <to>
                <xdr:col>3</xdr:col>
                <xdr:colOff>152400</xdr:colOff>
                <xdr:row>98</xdr:row>
                <xdr:rowOff>12700</xdr:rowOff>
              </to>
            </anchor>
          </objectPr>
        </oleObject>
      </mc:Choice>
      <mc:Fallback>
        <oleObject progId="Equation.3" shapeId="9224" r:id="rId11"/>
      </mc:Fallback>
    </mc:AlternateContent>
    <mc:AlternateContent xmlns:mc="http://schemas.openxmlformats.org/markup-compatibility/2006">
      <mc:Choice Requires="x14">
        <oleObject progId="Equation.3" shapeId="9226" r:id="rId13">
          <objectPr defaultSize="0" autoPict="0" r:id="rId14">
            <anchor moveWithCells="1" sizeWithCells="1">
              <from>
                <xdr:col>1</xdr:col>
                <xdr:colOff>38100</xdr:colOff>
                <xdr:row>121</xdr:row>
                <xdr:rowOff>0</xdr:rowOff>
              </from>
              <to>
                <xdr:col>2</xdr:col>
                <xdr:colOff>215900</xdr:colOff>
                <xdr:row>126</xdr:row>
                <xdr:rowOff>63500</xdr:rowOff>
              </to>
            </anchor>
          </objectPr>
        </oleObject>
      </mc:Choice>
      <mc:Fallback>
        <oleObject progId="Equation.3" shapeId="9226" r:id="rId13"/>
      </mc:Fallback>
    </mc:AlternateContent>
    <mc:AlternateContent xmlns:mc="http://schemas.openxmlformats.org/markup-compatibility/2006">
      <mc:Choice Requires="x14">
        <oleObject progId="Equation.3" shapeId="9227" r:id="rId15">
          <objectPr defaultSize="0" autoPict="0" r:id="rId16">
            <anchor moveWithCells="1" sizeWithCells="1">
              <from>
                <xdr:col>1</xdr:col>
                <xdr:colOff>0</xdr:colOff>
                <xdr:row>127</xdr:row>
                <xdr:rowOff>25400</xdr:rowOff>
              </from>
              <to>
                <xdr:col>2</xdr:col>
                <xdr:colOff>469900</xdr:colOff>
                <xdr:row>131</xdr:row>
                <xdr:rowOff>25400</xdr:rowOff>
              </to>
            </anchor>
          </objectPr>
        </oleObject>
      </mc:Choice>
      <mc:Fallback>
        <oleObject progId="Equation.3" shapeId="9227" r:id="rId15"/>
      </mc:Fallback>
    </mc:AlternateContent>
    <mc:AlternateContent xmlns:mc="http://schemas.openxmlformats.org/markup-compatibility/2006">
      <mc:Choice Requires="x14">
        <oleObject progId="Equation.3" shapeId="9228" r:id="rId17">
          <objectPr defaultSize="0" autoPict="0" r:id="rId18">
            <anchor moveWithCells="1" sizeWithCells="1">
              <from>
                <xdr:col>1</xdr:col>
                <xdr:colOff>0</xdr:colOff>
                <xdr:row>137</xdr:row>
                <xdr:rowOff>76200</xdr:rowOff>
              </from>
              <to>
                <xdr:col>3</xdr:col>
                <xdr:colOff>12700</xdr:colOff>
                <xdr:row>140</xdr:row>
                <xdr:rowOff>38100</xdr:rowOff>
              </to>
            </anchor>
          </objectPr>
        </oleObject>
      </mc:Choice>
      <mc:Fallback>
        <oleObject progId="Equation.3" shapeId="9228" r:id="rId17"/>
      </mc:Fallback>
    </mc:AlternateContent>
    <mc:AlternateContent xmlns:mc="http://schemas.openxmlformats.org/markup-compatibility/2006">
      <mc:Choice Requires="x14">
        <oleObject progId="Equation.3" shapeId="9229" r:id="rId19">
          <objectPr defaultSize="0" autoPict="0" r:id="rId20">
            <anchor moveWithCells="1" sizeWithCells="1">
              <from>
                <xdr:col>1</xdr:col>
                <xdr:colOff>12700</xdr:colOff>
                <xdr:row>143</xdr:row>
                <xdr:rowOff>101600</xdr:rowOff>
              </from>
              <to>
                <xdr:col>2</xdr:col>
                <xdr:colOff>495300</xdr:colOff>
                <xdr:row>146</xdr:row>
                <xdr:rowOff>63500</xdr:rowOff>
              </to>
            </anchor>
          </objectPr>
        </oleObject>
      </mc:Choice>
      <mc:Fallback>
        <oleObject progId="Equation.3" shapeId="9229" r:id="rId19"/>
      </mc:Fallback>
    </mc:AlternateContent>
    <mc:AlternateContent xmlns:mc="http://schemas.openxmlformats.org/markup-compatibility/2006">
      <mc:Choice Requires="x14">
        <oleObject progId="Equation.3" shapeId="9230" r:id="rId21">
          <objectPr defaultSize="0" autoPict="0" r:id="rId22">
            <anchor moveWithCells="1" sizeWithCells="1">
              <from>
                <xdr:col>0</xdr:col>
                <xdr:colOff>749300</xdr:colOff>
                <xdr:row>155</xdr:row>
                <xdr:rowOff>63500</xdr:rowOff>
              </from>
              <to>
                <xdr:col>3</xdr:col>
                <xdr:colOff>25400</xdr:colOff>
                <xdr:row>158</xdr:row>
                <xdr:rowOff>25400</xdr:rowOff>
              </to>
            </anchor>
          </objectPr>
        </oleObject>
      </mc:Choice>
      <mc:Fallback>
        <oleObject progId="Equation.3" shapeId="9230" r:id="rId21"/>
      </mc:Fallback>
    </mc:AlternateContent>
    <mc:AlternateContent xmlns:mc="http://schemas.openxmlformats.org/markup-compatibility/2006">
      <mc:Choice Requires="x14">
        <oleObject progId="Equation.3" shapeId="9231" r:id="rId23">
          <objectPr defaultSize="0" autoPict="0" r:id="rId24">
            <anchor moveWithCells="1" sizeWithCells="1">
              <from>
                <xdr:col>1</xdr:col>
                <xdr:colOff>12700</xdr:colOff>
                <xdr:row>159</xdr:row>
                <xdr:rowOff>63500</xdr:rowOff>
              </from>
              <to>
                <xdr:col>2</xdr:col>
                <xdr:colOff>647700</xdr:colOff>
                <xdr:row>162</xdr:row>
                <xdr:rowOff>25400</xdr:rowOff>
              </to>
            </anchor>
          </objectPr>
        </oleObject>
      </mc:Choice>
      <mc:Fallback>
        <oleObject progId="Equation.3" shapeId="9231" r:id="rId23"/>
      </mc:Fallback>
    </mc:AlternateContent>
    <mc:AlternateContent xmlns:mc="http://schemas.openxmlformats.org/markup-compatibility/2006">
      <mc:Choice Requires="x14">
        <oleObject progId="Equation.3" shapeId="9232" r:id="rId25">
          <objectPr defaultSize="0" autoPict="0" r:id="rId26">
            <anchor moveWithCells="1" sizeWithCells="1">
              <from>
                <xdr:col>0</xdr:col>
                <xdr:colOff>749300</xdr:colOff>
                <xdr:row>171</xdr:row>
                <xdr:rowOff>50800</xdr:rowOff>
              </from>
              <to>
                <xdr:col>2</xdr:col>
                <xdr:colOff>647700</xdr:colOff>
                <xdr:row>174</xdr:row>
                <xdr:rowOff>12700</xdr:rowOff>
              </to>
            </anchor>
          </objectPr>
        </oleObject>
      </mc:Choice>
      <mc:Fallback>
        <oleObject progId="Equation.3" shapeId="9232" r:id="rId25"/>
      </mc:Fallback>
    </mc:AlternateContent>
    <mc:AlternateContent xmlns:mc="http://schemas.openxmlformats.org/markup-compatibility/2006">
      <mc:Choice Requires="x14">
        <oleObject progId="Equation.3" shapeId="9233" r:id="rId27">
          <objectPr defaultSize="0" autoPict="0" r:id="rId28">
            <anchor moveWithCells="1" sizeWithCells="1">
              <from>
                <xdr:col>2</xdr:col>
                <xdr:colOff>0</xdr:colOff>
                <xdr:row>185</xdr:row>
                <xdr:rowOff>38100</xdr:rowOff>
              </from>
              <to>
                <xdr:col>4</xdr:col>
                <xdr:colOff>25400</xdr:colOff>
                <xdr:row>188</xdr:row>
                <xdr:rowOff>0</xdr:rowOff>
              </to>
            </anchor>
          </objectPr>
        </oleObject>
      </mc:Choice>
      <mc:Fallback>
        <oleObject progId="Equation.3" shapeId="9233" r:id="rId27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Prob.1</vt:lpstr>
      <vt:lpstr>Prob.2.</vt:lpstr>
      <vt:lpstr>Prob.3.</vt:lpstr>
      <vt:lpstr>Prob.5.</vt:lpstr>
      <vt:lpstr>Prob. 6.</vt:lpstr>
      <vt:lpstr>Prob.8</vt:lpstr>
      <vt:lpstr>Prob.10.</vt:lpstr>
    </vt:vector>
  </TitlesOfParts>
  <Company>HIS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</dc:creator>
  <cp:lastModifiedBy>Lars Buseth Mosberg</cp:lastModifiedBy>
  <cp:lastPrinted>2001-05-11T07:00:03Z</cp:lastPrinted>
  <dcterms:created xsi:type="dcterms:W3CDTF">2001-04-02T06:39:19Z</dcterms:created>
  <dcterms:modified xsi:type="dcterms:W3CDTF">2015-11-03T09:14:30Z</dcterms:modified>
</cp:coreProperties>
</file>